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110" windowWidth="15260" windowHeight="6150" tabRatio="787" activeTab="1"/>
  </bookViews>
  <sheets>
    <sheet name="Read" sheetId="9" r:id="rId1"/>
    <sheet name="P1-40 Pts" sheetId="1" r:id="rId2"/>
    <sheet name="P2 - 10 Pts" sheetId="10" r:id="rId3"/>
    <sheet name="P3-10 Pts" sheetId="3" r:id="rId4"/>
    <sheet name="P4-15 Pts" sheetId="2" r:id="rId5"/>
    <sheet name="P5-10 Pts" sheetId="8" r:id="rId6"/>
    <sheet name="P6 - 5 Pts" sheetId="11" r:id="rId7"/>
  </sheets>
  <definedNames>
    <definedName name="_xlnm.Print_Area" localSheetId="1">'P1-40 Pts'!$B$39:$K$62</definedName>
  </definedNames>
  <calcPr calcId="124519"/>
</workbook>
</file>

<file path=xl/calcChain.xml><?xml version="1.0" encoding="utf-8"?>
<calcChain xmlns="http://schemas.openxmlformats.org/spreadsheetml/2006/main">
  <c r="I62" i="1"/>
  <c r="I59" l="1"/>
  <c r="C17" i="11" l="1"/>
  <c r="B14" i="8"/>
  <c r="L9"/>
  <c r="C22" i="2"/>
  <c r="C16"/>
  <c r="E37" s="1"/>
  <c r="F7" i="3"/>
  <c r="G8" s="1"/>
  <c r="G9" s="1"/>
  <c r="F9"/>
  <c r="F10"/>
  <c r="F11"/>
  <c r="F12"/>
  <c r="F13"/>
  <c r="F14"/>
  <c r="F15"/>
  <c r="F16"/>
  <c r="F8"/>
  <c r="E14" i="10"/>
  <c r="D37" i="2" l="1"/>
  <c r="H9" i="3"/>
  <c r="G10"/>
  <c r="H8"/>
  <c r="L56" i="10"/>
  <c r="L55"/>
  <c r="L54"/>
  <c r="L53"/>
  <c r="L52"/>
  <c r="L51"/>
  <c r="L50"/>
  <c r="L49"/>
  <c r="L48"/>
  <c r="L47"/>
  <c r="L46"/>
  <c r="K53"/>
  <c r="K52"/>
  <c r="K51"/>
  <c r="K50"/>
  <c r="K49"/>
  <c r="K48"/>
  <c r="K47"/>
  <c r="K46"/>
  <c r="J51"/>
  <c r="J50"/>
  <c r="J49"/>
  <c r="J48"/>
  <c r="J47"/>
  <c r="J46"/>
  <c r="I47"/>
  <c r="I48"/>
  <c r="I49"/>
  <c r="I46"/>
  <c r="L35"/>
  <c r="L36"/>
  <c r="L37" s="1"/>
  <c r="L38" s="1"/>
  <c r="L39" s="1"/>
  <c r="L40" s="1"/>
  <c r="L41" s="1"/>
  <c r="L42" s="1"/>
  <c r="L43" s="1"/>
  <c r="K35"/>
  <c r="K36"/>
  <c r="K37" s="1"/>
  <c r="K38" s="1"/>
  <c r="K39" s="1"/>
  <c r="K40" s="1"/>
  <c r="J35"/>
  <c r="J36"/>
  <c r="J37" s="1"/>
  <c r="J38" s="1"/>
  <c r="L34"/>
  <c r="K34"/>
  <c r="J34"/>
  <c r="L33"/>
  <c r="K33"/>
  <c r="J33"/>
  <c r="I35"/>
  <c r="I36" s="1"/>
  <c r="I34"/>
  <c r="I33"/>
  <c r="L30"/>
  <c r="L29"/>
  <c r="L28"/>
  <c r="L27"/>
  <c r="L26"/>
  <c r="L25"/>
  <c r="L24"/>
  <c r="L23"/>
  <c r="L22"/>
  <c r="L21"/>
  <c r="L20"/>
  <c r="K27"/>
  <c r="K26"/>
  <c r="K25"/>
  <c r="K24"/>
  <c r="K23"/>
  <c r="K22"/>
  <c r="K21"/>
  <c r="K20"/>
  <c r="J25"/>
  <c r="J24"/>
  <c r="J23"/>
  <c r="J22"/>
  <c r="J21"/>
  <c r="J20"/>
  <c r="I21"/>
  <c r="I22"/>
  <c r="I23"/>
  <c r="I20"/>
  <c r="J62" i="1"/>
  <c r="J61"/>
  <c r="J60"/>
  <c r="I60"/>
  <c r="I61" s="1"/>
  <c r="K62" s="1"/>
  <c r="K54" s="1"/>
  <c r="N61"/>
  <c r="N62" s="1"/>
  <c r="K53"/>
  <c r="J46"/>
  <c r="K46"/>
  <c r="K48" s="1"/>
  <c r="I46"/>
  <c r="K42"/>
  <c r="J42"/>
  <c r="J43" s="1"/>
  <c r="J47" s="1"/>
  <c r="J51" s="1"/>
  <c r="I42"/>
  <c r="K41"/>
  <c r="K43" s="1"/>
  <c r="K47" s="1"/>
  <c r="K51" s="1"/>
  <c r="J41"/>
  <c r="I41"/>
  <c r="I43" s="1"/>
  <c r="I47" s="1"/>
  <c r="I51" s="1"/>
  <c r="E46"/>
  <c r="E47" s="1"/>
  <c r="D45"/>
  <c r="O40"/>
  <c r="O41" s="1"/>
  <c r="O42" s="1"/>
  <c r="G11" i="3" l="1"/>
  <c r="H10"/>
  <c r="K49" i="1"/>
  <c r="K50"/>
  <c r="K52" s="1"/>
  <c r="K55" s="1"/>
  <c r="I48"/>
  <c r="J48"/>
  <c r="G12" i="3" l="1"/>
  <c r="H11"/>
  <c r="J49" i="1"/>
  <c r="J50" s="1"/>
  <c r="J52" s="1"/>
  <c r="J55" s="1"/>
  <c r="I49"/>
  <c r="I50" s="1"/>
  <c r="I52" s="1"/>
  <c r="I55" s="1"/>
  <c r="G13" i="3" l="1"/>
  <c r="H12"/>
  <c r="G14" l="1"/>
  <c r="H13"/>
  <c r="G15" l="1"/>
  <c r="H14"/>
  <c r="G16" l="1"/>
  <c r="H15"/>
  <c r="H16" l="1"/>
  <c r="D20" s="1"/>
</calcChain>
</file>

<file path=xl/sharedStrings.xml><?xml version="1.0" encoding="utf-8"?>
<sst xmlns="http://schemas.openxmlformats.org/spreadsheetml/2006/main" count="165" uniqueCount="129">
  <si>
    <t>MACRS Percentages</t>
  </si>
  <si>
    <t>Year</t>
  </si>
  <si>
    <t>3-year</t>
  </si>
  <si>
    <t>5-year</t>
  </si>
  <si>
    <t>7-year</t>
  </si>
  <si>
    <t>10-year</t>
  </si>
  <si>
    <t>INPUTS</t>
  </si>
  <si>
    <t>Old Machine:</t>
  </si>
  <si>
    <t>New Machine:</t>
  </si>
  <si>
    <t>Original Price</t>
  </si>
  <si>
    <t>Current Value</t>
  </si>
  <si>
    <t>Installation Expenses</t>
  </si>
  <si>
    <t>Annual Cash Expenses</t>
  </si>
  <si>
    <t>General:</t>
  </si>
  <si>
    <t>Tax Rate</t>
  </si>
  <si>
    <t>Req'd Return</t>
  </si>
  <si>
    <t>CASH FLOWS</t>
  </si>
  <si>
    <t>Time</t>
  </si>
  <si>
    <t>Cash
Flow</t>
  </si>
  <si>
    <t>Problem 2:</t>
  </si>
  <si>
    <t>Disount
Rate</t>
  </si>
  <si>
    <t>Answer:</t>
  </si>
  <si>
    <t>A.</t>
  </si>
  <si>
    <t>B.</t>
  </si>
  <si>
    <t>C.</t>
  </si>
  <si>
    <t>Problem 3:</t>
  </si>
  <si>
    <t>Payback Period</t>
  </si>
  <si>
    <t xml:space="preserve">The MACRS depreciation rates are given in the table </t>
  </si>
  <si>
    <t>Problem 4:</t>
  </si>
  <si>
    <t>Your method must work for any allowed values of the inputs.</t>
  </si>
  <si>
    <t>Problem 5:</t>
  </si>
  <si>
    <t xml:space="preserve">Using the inputs and outputs above, what discount rate would make you indifferent between accepting or </t>
  </si>
  <si>
    <t>Problem 6:</t>
  </si>
  <si>
    <t>CF</t>
  </si>
  <si>
    <t>In the yellow cell below, create a formula that creates a</t>
  </si>
  <si>
    <t>sentence the reads like the example below the cell, with the</t>
  </si>
  <si>
    <t>numbers changing to the correct numbers for whatever inputs</t>
  </si>
  <si>
    <t>formulas in other places as needed.</t>
  </si>
  <si>
    <t>Discount Rate:</t>
  </si>
  <si>
    <t xml:space="preserve">are provided in the cells to the left. You can use intermediate </t>
  </si>
  <si>
    <t xml:space="preserve">IMPORTANT: SAVE THIS SPREADSHEET TO THE DESKTOP OF THE </t>
  </si>
  <si>
    <t>NOTHING SHOULD BE USED OR ACCESSED BY YOU DURING THIS</t>
  </si>
  <si>
    <t>TEST EXCEPT THE COMPUTER YOU ARE USING AND THIS FILE, AND</t>
  </si>
  <si>
    <t>BLACKBOARD WHEN YOU SUBMIT YOUR COMPLETED EXAM.</t>
  </si>
  <si>
    <t>YOU MAY NOT ACCESS THE INTERNET OTHER THAN TO SUBMIT</t>
  </si>
  <si>
    <t>YOUR COMPLETED EXAM IN BLACKBOARD.</t>
  </si>
  <si>
    <t>VIDEO SURVEILLANCE IS ACTIVE.</t>
  </si>
  <si>
    <t>Follow the instructions on each tabbed page.</t>
  </si>
  <si>
    <t>Submit your finished file in the digital dropbox in BlackBoard.</t>
  </si>
  <si>
    <t>Partial credit will be given where possible.</t>
  </si>
  <si>
    <t xml:space="preserve">NOTE WELL: YOUR TEST NEEDS TO BE SUBMITTED, NOT SAVED. </t>
  </si>
  <si>
    <t>IF YOU JUST SAVE IT, I DON'T RECEIVE IT AND YOU GET A ZERO.</t>
  </si>
  <si>
    <t>Expected value in 3 years</t>
  </si>
  <si>
    <t xml:space="preserve">Using the inputs in the table below, create whatever formulas are needed to compute the DISCOUNTED PAYBACK PERIOD years for any set of inputs within the 10-year time frame. Put the result in the yellow cell below the table. The result should show "X Years" in the cell where X is the discounted payback period in years. If the inputs are set to produce a project that does not achieve discounted payback within the 10 years, your result should return the word NEVER. </t>
  </si>
  <si>
    <t>Discount Rate</t>
  </si>
  <si>
    <t xml:space="preserve">to the right. Using the inputs provided below, create </t>
  </si>
  <si>
    <t>whatever formulas are needed to compute the book value</t>
  </si>
  <si>
    <t>of the asset at the end of the year shown in the input.</t>
  </si>
  <si>
    <t>Depreciation Class</t>
  </si>
  <si>
    <t>3-Year</t>
  </si>
  <si>
    <t>5-Year</t>
  </si>
  <si>
    <t>7-Year</t>
  </si>
  <si>
    <t>10-Year</t>
  </si>
  <si>
    <t>Purchase Price</t>
  </si>
  <si>
    <t>Years owned</t>
  </si>
  <si>
    <t>Book Value of the asset</t>
  </si>
  <si>
    <t>Using the inputs above, create one formula that computes the Net Present Value of the project. [2 Points]</t>
  </si>
  <si>
    <t>In the sentence above, xx.x% should be the MIRR of the project given the input settings, and</t>
  </si>
  <si>
    <t>acceptable, or it should be REJECTED if the MIRR indicates that the project should be rejected.</t>
  </si>
  <si>
    <t>Your formula does not need to consider the one case where you would be indifferent betwee</t>
  </si>
  <si>
    <t>accepting and rejecting the project.</t>
  </si>
  <si>
    <t xml:space="preserve">This project has an MIRR of xx.x% which indicates that the project should be ACCEPTED. </t>
  </si>
  <si>
    <t xml:space="preserve">the last word in the sentence should be ACCEPTED if the MIRR indicates that the project is </t>
  </si>
  <si>
    <t>For the particular values shown for the cash flows from a project given above,</t>
  </si>
  <si>
    <t>return for the project. [5]</t>
  </si>
  <si>
    <t>There are 7 tabbed pages in this exam spreadsheet including this page.</t>
  </si>
  <si>
    <t>There are 6 problem pages with points possible noted on the tabs.</t>
  </si>
  <si>
    <t xml:space="preserve">IN BLACKBOARD, YOU SEND IT BY CLICKING ON SEND, NOT ON ADD. DO NOT USE THE ADD </t>
  </si>
  <si>
    <t>BUTTON. USE THE SEND BUTTON. BE SURE TO CHECK WITH ME BEFORE YOU LEAVE</t>
  </si>
  <si>
    <t>TO MAKE SURE I RECEIVED YOUR TEST.</t>
  </si>
  <si>
    <t>COMPUTER YOU ARE USING WITH YOUR NAME IN THE FILENAME.</t>
  </si>
  <si>
    <t>RESAVE IT OFTEN WHILE YOU ARE WORKING ON IT.</t>
  </si>
  <si>
    <t>Total points for the problems sum to 90. You start with 10 points</t>
  </si>
  <si>
    <t>gifted to you.</t>
  </si>
  <si>
    <t>Increased Sales</t>
  </si>
  <si>
    <t xml:space="preserve">create a formula in the space below that gives the correct average annual rate of </t>
  </si>
  <si>
    <t>Your formula should work for any values of the inputs. [2 Points]</t>
  </si>
  <si>
    <t>rejecting this project? Your formula should work for any values of the inputs. [3 Points]</t>
  </si>
  <si>
    <t xml:space="preserve"> CASH FLOWS AT t=0 </t>
  </si>
  <si>
    <t xml:space="preserve"> Purchase Price </t>
  </si>
  <si>
    <t xml:space="preserve"> Year 1 </t>
  </si>
  <si>
    <t xml:space="preserve"> Year 2 </t>
  </si>
  <si>
    <t xml:space="preserve"> Year 3 </t>
  </si>
  <si>
    <t xml:space="preserve"> Installation </t>
  </si>
  <si>
    <t xml:space="preserve"> New Depreciation </t>
  </si>
  <si>
    <t xml:space="preserve"> Chg in Net Working Capital </t>
  </si>
  <si>
    <t xml:space="preserve"> Depreciation Old </t>
  </si>
  <si>
    <t xml:space="preserve"> -   </t>
  </si>
  <si>
    <t xml:space="preserve"> BTSV Old Asset </t>
  </si>
  <si>
    <t xml:space="preserve"> Difference </t>
  </si>
  <si>
    <t xml:space="preserve"> BV Old Asset </t>
  </si>
  <si>
    <t xml:space="preserve"> Operating Expenses </t>
  </si>
  <si>
    <t xml:space="preserve"> Tax Effect on Sale of Old Asset </t>
  </si>
  <si>
    <t xml:space="preserve"> Depreciation </t>
  </si>
  <si>
    <t xml:space="preserve"> Net Initial Outlay </t>
  </si>
  <si>
    <t xml:space="preserve"> Chg in Taxable Inc </t>
  </si>
  <si>
    <t xml:space="preserve"> Tax </t>
  </si>
  <si>
    <t xml:space="preserve"> Chg in Net Income </t>
  </si>
  <si>
    <t xml:space="preserve"> Reverse Depn </t>
  </si>
  <si>
    <t xml:space="preserve"> Net Operating CF </t>
  </si>
  <si>
    <t xml:space="preserve"> Reverse NWC </t>
  </si>
  <si>
    <t xml:space="preserve"> Chg in ATSV </t>
  </si>
  <si>
    <t xml:space="preserve"> Net Cash Flow </t>
  </si>
  <si>
    <t xml:space="preserve"> New </t>
  </si>
  <si>
    <t xml:space="preserve"> Old </t>
  </si>
  <si>
    <t xml:space="preserve"> Diff </t>
  </si>
  <si>
    <t xml:space="preserve"> BTSV </t>
  </si>
  <si>
    <t xml:space="preserve"> Book Value  </t>
  </si>
  <si>
    <t xml:space="preserve"> Gain(Loss) on Sale </t>
  </si>
  <si>
    <t xml:space="preserve"> Tax Effect </t>
  </si>
  <si>
    <t xml:space="preserve"> ATSV </t>
  </si>
  <si>
    <t>Gain on Sale</t>
  </si>
  <si>
    <t>Revenue</t>
  </si>
  <si>
    <t xml:space="preserve"> CASH FLOWS FOR YEARS 1 to 3</t>
  </si>
  <si>
    <t>Depreciation Per Year</t>
  </si>
  <si>
    <t>Accumulated Depreciation</t>
  </si>
  <si>
    <t>Book Value</t>
  </si>
  <si>
    <t>EAA</t>
  </si>
  <si>
    <t>NPV</t>
  </si>
</sst>
</file>

<file path=xl/styles.xml><?xml version="1.0" encoding="utf-8"?>
<styleSheet xmlns="http://schemas.openxmlformats.org/spreadsheetml/2006/main">
  <numFmts count="6">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s>
  <fonts count="12">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0"/>
      <name val="Calibri"/>
      <family val="2"/>
      <scheme val="minor"/>
    </font>
    <font>
      <b/>
      <sz val="14"/>
      <color theme="1"/>
      <name val="Calibri"/>
      <family val="2"/>
      <scheme val="minor"/>
    </font>
    <font>
      <b/>
      <u val="singleAccounting"/>
      <sz val="11"/>
      <color theme="1"/>
      <name val="Calibri"/>
      <family val="2"/>
      <scheme val="minor"/>
    </font>
    <font>
      <b/>
      <sz val="11"/>
      <color rgb="FFFF0000"/>
      <name val="Calibri"/>
      <family val="2"/>
      <scheme val="minor"/>
    </font>
    <font>
      <b/>
      <sz val="18"/>
      <color theme="1"/>
      <name val="Calibri"/>
      <family val="2"/>
      <scheme val="minor"/>
    </font>
    <font>
      <b/>
      <sz val="14"/>
      <color rgb="FFFF0000"/>
      <name val="Calibri"/>
      <family val="2"/>
      <scheme val="minor"/>
    </font>
    <font>
      <b/>
      <sz val="16"/>
      <color rgb="FFFF0000"/>
      <name val="Calibri"/>
      <family val="2"/>
      <scheme val="minor"/>
    </font>
    <font>
      <u val="singleAccounting"/>
      <sz val="11"/>
      <color theme="1"/>
      <name val="Calibri"/>
      <family val="2"/>
      <scheme val="minor"/>
    </font>
  </fonts>
  <fills count="5">
    <fill>
      <patternFill patternType="none"/>
    </fill>
    <fill>
      <patternFill patternType="gray125"/>
    </fill>
    <fill>
      <patternFill patternType="solid">
        <fgColor theme="1"/>
        <bgColor indexed="64"/>
      </patternFill>
    </fill>
    <fill>
      <patternFill patternType="solid">
        <fgColor rgb="FF002060"/>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84">
    <xf numFmtId="0" fontId="0" fillId="0" borderId="0" xfId="0"/>
    <xf numFmtId="43" fontId="0" fillId="0" borderId="0" xfId="0" applyNumberFormat="1"/>
    <xf numFmtId="0" fontId="0" fillId="0" borderId="0" xfId="0"/>
    <xf numFmtId="41" fontId="0" fillId="0" borderId="0" xfId="0" applyNumberFormat="1"/>
    <xf numFmtId="41" fontId="3" fillId="0" borderId="0" xfId="0" applyNumberFormat="1" applyFont="1"/>
    <xf numFmtId="41" fontId="0" fillId="0" borderId="0" xfId="0" applyNumberFormat="1" applyAlignment="1">
      <alignment horizontal="left" indent="1"/>
    </xf>
    <xf numFmtId="0" fontId="0" fillId="0" borderId="0" xfId="0" applyAlignment="1">
      <alignment horizontal="left" indent="2"/>
    </xf>
    <xf numFmtId="41" fontId="2" fillId="0" borderId="0" xfId="0" applyNumberFormat="1" applyFont="1"/>
    <xf numFmtId="10" fontId="0" fillId="0" borderId="1" xfId="2" applyNumberFormat="1" applyFont="1" applyBorder="1"/>
    <xf numFmtId="0" fontId="3" fillId="0" borderId="4" xfId="0" applyFont="1" applyBorder="1" applyAlignment="1">
      <alignment horizontal="center"/>
    </xf>
    <xf numFmtId="10" fontId="0" fillId="0" borderId="5" xfId="2" applyNumberFormat="1" applyFont="1" applyBorder="1"/>
    <xf numFmtId="0" fontId="3" fillId="0" borderId="6" xfId="0" applyFont="1" applyBorder="1" applyAlignment="1">
      <alignment horizontal="center"/>
    </xf>
    <xf numFmtId="10" fontId="0" fillId="0" borderId="8" xfId="2" applyNumberFormat="1" applyFont="1" applyBorder="1"/>
    <xf numFmtId="0" fontId="3" fillId="0" borderId="12" xfId="0" applyFont="1" applyBorder="1" applyAlignment="1">
      <alignment horizontal="center"/>
    </xf>
    <xf numFmtId="10" fontId="0" fillId="0" borderId="13" xfId="2" applyNumberFormat="1" applyFont="1" applyBorder="1"/>
    <xf numFmtId="10" fontId="0" fillId="0" borderId="14" xfId="2"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2" applyNumberFormat="1" applyFont="1" applyFill="1" applyBorder="1"/>
    <xf numFmtId="10" fontId="0" fillId="2" borderId="7" xfId="2" applyNumberFormat="1" applyFont="1" applyFill="1" applyBorder="1"/>
    <xf numFmtId="9" fontId="0" fillId="0" borderId="0" xfId="0" applyNumberFormat="1"/>
    <xf numFmtId="9" fontId="2" fillId="0" borderId="0" xfId="0" applyNumberFormat="1" applyFont="1"/>
    <xf numFmtId="41" fontId="7" fillId="0" borderId="0" xfId="0" applyNumberFormat="1" applyFont="1"/>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3" fillId="4" borderId="2" xfId="0" applyNumberFormat="1" applyFont="1" applyFill="1" applyBorder="1" applyAlignment="1">
      <alignment horizontal="center"/>
    </xf>
    <xf numFmtId="42" fontId="3" fillId="4" borderId="3" xfId="0" applyNumberFormat="1" applyFont="1" applyFill="1" applyBorder="1" applyAlignment="1">
      <alignment horizontal="center" wrapText="1"/>
    </xf>
    <xf numFmtId="42" fontId="2" fillId="0" borderId="5" xfId="0" applyNumberFormat="1" applyFont="1" applyBorder="1"/>
    <xf numFmtId="42" fontId="2" fillId="0" borderId="8" xfId="0" applyNumberFormat="1" applyFont="1" applyBorder="1"/>
    <xf numFmtId="42" fontId="3" fillId="4" borderId="18" xfId="0" applyNumberFormat="1" applyFont="1" applyFill="1" applyBorder="1" applyAlignment="1">
      <alignment horizontal="center" wrapText="1"/>
    </xf>
    <xf numFmtId="10" fontId="2" fillId="0" borderId="18" xfId="0" applyNumberFormat="1" applyFont="1" applyBorder="1"/>
    <xf numFmtId="42" fontId="3" fillId="0" borderId="0" xfId="0" applyNumberFormat="1" applyFont="1"/>
    <xf numFmtId="42" fontId="0" fillId="0" borderId="0" xfId="0" applyNumberFormat="1" applyFont="1"/>
    <xf numFmtId="42" fontId="8" fillId="0" borderId="0" xfId="0" applyNumberFormat="1" applyFont="1"/>
    <xf numFmtId="0" fontId="3" fillId="0" borderId="19" xfId="0" applyNumberFormat="1" applyFont="1" applyBorder="1" applyAlignment="1">
      <alignment horizontal="center"/>
    </xf>
    <xf numFmtId="42" fontId="2" fillId="0" borderId="20" xfId="0" applyNumberFormat="1" applyFont="1" applyBorder="1"/>
    <xf numFmtId="42" fontId="3" fillId="4" borderId="21" xfId="0" applyNumberFormat="1" applyFont="1" applyFill="1" applyBorder="1" applyAlignment="1">
      <alignment horizontal="center"/>
    </xf>
    <xf numFmtId="42" fontId="3" fillId="4" borderId="22" xfId="0" applyNumberFormat="1" applyFont="1" applyFill="1" applyBorder="1" applyAlignment="1">
      <alignment horizontal="center" wrapText="1"/>
    </xf>
    <xf numFmtId="0" fontId="3" fillId="0" borderId="2" xfId="0" applyNumberFormat="1" applyFont="1" applyBorder="1" applyAlignment="1">
      <alignment horizontal="center"/>
    </xf>
    <xf numFmtId="42" fontId="2" fillId="0" borderId="3" xfId="0" applyNumberFormat="1" applyFont="1" applyBorder="1"/>
    <xf numFmtId="0" fontId="0" fillId="0" borderId="0" xfId="0" applyNumberFormat="1" applyAlignment="1">
      <alignment vertical="top" wrapText="1"/>
    </xf>
    <xf numFmtId="0" fontId="3" fillId="0" borderId="0" xfId="0" applyFont="1" applyAlignment="1">
      <alignment horizontal="left" indent="1"/>
    </xf>
    <xf numFmtId="0" fontId="8" fillId="0" borderId="0" xfId="0" applyFont="1" applyAlignment="1">
      <alignment horizontal="left"/>
    </xf>
    <xf numFmtId="44" fontId="0" fillId="4" borderId="18" xfId="1" applyFont="1" applyFill="1" applyBorder="1"/>
    <xf numFmtId="44" fontId="6" fillId="0" borderId="0" xfId="0" applyNumberFormat="1" applyFont="1" applyAlignment="1">
      <alignment horizontal="center" vertical="center"/>
    </xf>
    <xf numFmtId="44" fontId="0" fillId="0" borderId="0" xfId="0" applyNumberFormat="1"/>
    <xf numFmtId="0" fontId="0" fillId="0" borderId="0" xfId="0" applyNumberFormat="1" applyAlignment="1">
      <alignment horizontal="center"/>
    </xf>
    <xf numFmtId="44" fontId="2" fillId="0" borderId="0" xfId="0" applyNumberFormat="1" applyFont="1"/>
    <xf numFmtId="10" fontId="2" fillId="0" borderId="0" xfId="0" applyNumberFormat="1" applyFont="1"/>
    <xf numFmtId="44" fontId="8" fillId="0" borderId="0" xfId="0" applyNumberFormat="1" applyFont="1"/>
    <xf numFmtId="0" fontId="9" fillId="0" borderId="0" xfId="0" applyFont="1"/>
    <xf numFmtId="0" fontId="10" fillId="0" borderId="0" xfId="0" applyFont="1"/>
    <xf numFmtId="0" fontId="2" fillId="0" borderId="0" xfId="0" applyFont="1" applyAlignment="1">
      <alignment horizontal="center"/>
    </xf>
    <xf numFmtId="6" fontId="2" fillId="0" borderId="0" xfId="0" applyNumberFormat="1" applyFont="1"/>
    <xf numFmtId="42" fontId="0" fillId="0" borderId="0" xfId="0" applyNumberFormat="1" applyBorder="1"/>
    <xf numFmtId="9" fontId="0" fillId="0" borderId="0" xfId="0" applyNumberFormat="1" applyBorder="1" applyAlignment="1">
      <alignment horizontal="center"/>
    </xf>
    <xf numFmtId="42" fontId="0" fillId="0" borderId="5" xfId="0" applyNumberFormat="1" applyFont="1" applyBorder="1"/>
    <xf numFmtId="42" fontId="0" fillId="0" borderId="8" xfId="0" applyNumberFormat="1" applyFont="1" applyBorder="1"/>
    <xf numFmtId="10" fontId="0" fillId="0" borderId="0" xfId="0" applyNumberFormat="1"/>
    <xf numFmtId="43" fontId="11" fillId="0" borderId="0" xfId="0" applyNumberFormat="1" applyFont="1"/>
    <xf numFmtId="8" fontId="0" fillId="0" borderId="0" xfId="0" applyNumberFormat="1"/>
    <xf numFmtId="43" fontId="0" fillId="0" borderId="13" xfId="3" applyFont="1" applyBorder="1"/>
    <xf numFmtId="42" fontId="6" fillId="0" borderId="0" xfId="0" applyNumberFormat="1" applyFont="1" applyBorder="1" applyAlignment="1">
      <alignment horizontal="center"/>
    </xf>
    <xf numFmtId="8" fontId="0" fillId="0" borderId="0" xfId="0" applyNumberFormat="1" applyBorder="1"/>
    <xf numFmtId="41" fontId="4" fillId="3" borderId="0" xfId="0" applyNumberFormat="1" applyFont="1" applyFill="1" applyAlignment="1">
      <alignment horizontal="center" vertical="center"/>
    </xf>
    <xf numFmtId="0" fontId="5" fillId="0" borderId="11" xfId="0" applyFont="1" applyBorder="1" applyAlignment="1">
      <alignment horizontal="center"/>
    </xf>
    <xf numFmtId="43" fontId="3" fillId="0" borderId="0" xfId="0" applyNumberFormat="1" applyFont="1" applyAlignment="1">
      <alignment horizontal="center"/>
    </xf>
    <xf numFmtId="0" fontId="0" fillId="0" borderId="0" xfId="0" applyNumberFormat="1" applyAlignment="1">
      <alignment vertical="top" wrapText="1"/>
    </xf>
    <xf numFmtId="0" fontId="0" fillId="4" borderId="9" xfId="0" applyFill="1" applyBorder="1"/>
    <xf numFmtId="0" fontId="0" fillId="4" borderId="10" xfId="0" applyFill="1" applyBorder="1"/>
    <xf numFmtId="42" fontId="0" fillId="4" borderId="9" xfId="0" applyNumberFormat="1" applyFill="1" applyBorder="1"/>
    <xf numFmtId="42" fontId="0" fillId="4" borderId="10" xfId="0" applyNumberFormat="1" applyFill="1" applyBorder="1"/>
    <xf numFmtId="10" fontId="0" fillId="4" borderId="9" xfId="2" applyNumberFormat="1" applyFont="1" applyFill="1" applyBorder="1"/>
    <xf numFmtId="10" fontId="0" fillId="4" borderId="10" xfId="2" applyNumberFormat="1" applyFont="1" applyFill="1" applyBorder="1"/>
    <xf numFmtId="44" fontId="0" fillId="4" borderId="9" xfId="0" applyNumberFormat="1" applyFill="1" applyBorder="1"/>
    <xf numFmtId="44" fontId="0" fillId="4" borderId="23" xfId="0" applyNumberFormat="1" applyFill="1" applyBorder="1"/>
    <xf numFmtId="44" fontId="0" fillId="4" borderId="10" xfId="0" applyNumberFormat="1" applyFill="1" applyBorder="1"/>
    <xf numFmtId="44" fontId="0" fillId="0" borderId="9" xfId="0" applyNumberFormat="1" applyBorder="1"/>
    <xf numFmtId="44" fontId="0" fillId="0" borderId="23" xfId="0" applyNumberFormat="1" applyBorder="1"/>
    <xf numFmtId="44" fontId="0" fillId="0" borderId="10" xfId="0" applyNumberFormat="1" applyBorder="1"/>
    <xf numFmtId="10" fontId="0" fillId="4" borderId="9" xfId="0" applyNumberFormat="1" applyFill="1" applyBorder="1"/>
    <xf numFmtId="10" fontId="0" fillId="4" borderId="10" xfId="0" applyNumberFormat="1" applyFill="1" applyBorder="1"/>
  </cellXfs>
  <cellStyles count="4">
    <cellStyle name="Comma" xfId="3" builtinId="3"/>
    <cellStyle name="Currency" xfId="1" builtinId="4"/>
    <cellStyle name="Normal" xfId="0" builtinId="0"/>
    <cellStyle name="Percent" xfId="2"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NPV Profile</a:t>
            </a:r>
          </a:p>
        </c:rich>
      </c:tx>
    </c:title>
    <c:plotArea>
      <c:layout/>
      <c:scatterChart>
        <c:scatterStyle val="smoothMarker"/>
        <c:ser>
          <c:idx val="1"/>
          <c:order val="0"/>
          <c:marker>
            <c:symbol val="none"/>
          </c:marker>
          <c:xVal>
            <c:numRef>
              <c:f>'P4-15 Pts'!$C$38:$C$52</c:f>
              <c:numCache>
                <c:formatCode>0%</c:formatCode>
                <c:ptCount val="15"/>
                <c:pt idx="0">
                  <c:v>0</c:v>
                </c:pt>
                <c:pt idx="1">
                  <c:v>0.02</c:v>
                </c:pt>
                <c:pt idx="2">
                  <c:v>0.04</c:v>
                </c:pt>
                <c:pt idx="3">
                  <c:v>0.06</c:v>
                </c:pt>
                <c:pt idx="4">
                  <c:v>0.08</c:v>
                </c:pt>
                <c:pt idx="5">
                  <c:v>0.1</c:v>
                </c:pt>
                <c:pt idx="6">
                  <c:v>0.12</c:v>
                </c:pt>
                <c:pt idx="7">
                  <c:v>0.14000000000000001</c:v>
                </c:pt>
                <c:pt idx="8">
                  <c:v>0.18</c:v>
                </c:pt>
                <c:pt idx="9">
                  <c:v>0.2</c:v>
                </c:pt>
                <c:pt idx="10">
                  <c:v>0.22</c:v>
                </c:pt>
                <c:pt idx="11">
                  <c:v>0.24</c:v>
                </c:pt>
                <c:pt idx="12">
                  <c:v>0.26</c:v>
                </c:pt>
                <c:pt idx="13">
                  <c:v>0.28000000000000003</c:v>
                </c:pt>
                <c:pt idx="14">
                  <c:v>0.3</c:v>
                </c:pt>
              </c:numCache>
            </c:numRef>
          </c:xVal>
          <c:yVal>
            <c:numRef>
              <c:f>'P4-15 Pts'!$E$38:$E$52</c:f>
              <c:numCache>
                <c:formatCode>_("$"* #,##0_);_("$"* \(#,##0\);_("$"* "-"_);_(@_)</c:formatCode>
                <c:ptCount val="15"/>
                <c:pt idx="0">
                  <c:v>7800</c:v>
                </c:pt>
                <c:pt idx="1">
                  <c:v>6377.6735258968838</c:v>
                </c:pt>
                <c:pt idx="2">
                  <c:v>5097.6426581075575</c:v>
                </c:pt>
                <c:pt idx="3">
                  <c:v>3942.4649780754735</c:v>
                </c:pt>
                <c:pt idx="4">
                  <c:v>2897.1733732956964</c:v>
                </c:pt>
                <c:pt idx="5">
                  <c:v>1948.881523131291</c:v>
                </c:pt>
                <c:pt idx="6">
                  <c:v>1086.4586466134788</c:v>
                </c:pt>
                <c:pt idx="7">
                  <c:v>300.26029920052679</c:v>
                </c:pt>
                <c:pt idx="8">
                  <c:v>-1075.9136791334367</c:v>
                </c:pt>
                <c:pt idx="9">
                  <c:v>-1679.5803326474615</c:v>
                </c:pt>
                <c:pt idx="10">
                  <c:v>-2234.6915820288159</c:v>
                </c:pt>
                <c:pt idx="11">
                  <c:v>-2746.1650325256524</c:v>
                </c:pt>
                <c:pt idx="12">
                  <c:v>-3218.3328289075744</c:v>
                </c:pt>
                <c:pt idx="13">
                  <c:v>-3655.0207179971039</c:v>
                </c:pt>
                <c:pt idx="14">
                  <c:v>-4059.6152654890629</c:v>
                </c:pt>
              </c:numCache>
            </c:numRef>
          </c:yVal>
          <c:smooth val="1"/>
        </c:ser>
        <c:axId val="101173504"/>
        <c:axId val="101228928"/>
      </c:scatterChart>
      <c:valAx>
        <c:axId val="101173504"/>
        <c:scaling>
          <c:orientation val="minMax"/>
        </c:scaling>
        <c:axPos val="b"/>
        <c:title>
          <c:tx>
            <c:rich>
              <a:bodyPr/>
              <a:lstStyle/>
              <a:p>
                <a:pPr>
                  <a:defRPr/>
                </a:pPr>
                <a:r>
                  <a:rPr lang="en-US"/>
                  <a:t>Discount Rate</a:t>
                </a:r>
              </a:p>
            </c:rich>
          </c:tx>
        </c:title>
        <c:numFmt formatCode="0%" sourceLinked="1"/>
        <c:majorTickMark val="none"/>
        <c:tickLblPos val="nextTo"/>
        <c:crossAx val="101228928"/>
        <c:crosses val="autoZero"/>
        <c:crossBetween val="midCat"/>
      </c:valAx>
      <c:valAx>
        <c:axId val="101228928"/>
        <c:scaling>
          <c:orientation val="minMax"/>
        </c:scaling>
        <c:axPos val="l"/>
        <c:majorGridlines/>
        <c:title>
          <c:tx>
            <c:rich>
              <a:bodyPr/>
              <a:lstStyle/>
              <a:p>
                <a:pPr>
                  <a:defRPr/>
                </a:pPr>
                <a:r>
                  <a:rPr lang="en-US"/>
                  <a:t>NPV</a:t>
                </a:r>
              </a:p>
            </c:rich>
          </c:tx>
        </c:title>
        <c:numFmt formatCode="_(&quot;$&quot;* #,##0_);_(&quot;$&quot;* \(#,##0\);_(&quot;$&quot;* &quot;-&quot;_);_(@_)" sourceLinked="1"/>
        <c:majorTickMark val="none"/>
        <c:tickLblPos val="nextTo"/>
        <c:crossAx val="101173504"/>
        <c:crosses val="autoZero"/>
        <c:crossBetween val="midCat"/>
      </c:valAx>
    </c:plotArea>
    <c:plotVisOnly val="1"/>
  </c:chart>
  <c:printSettings>
    <c:headerFooter/>
    <c:pageMargins b="0.75000000000000022" l="0.70000000000000018" r="0.70000000000000018" t="0.75000000000000022" header="0.3000000000000001" footer="0.3000000000000001"/>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302613</xdr:colOff>
      <xdr:row>0</xdr:row>
      <xdr:rowOff>152814</xdr:rowOff>
    </xdr:from>
    <xdr:to>
      <xdr:col>11</xdr:col>
      <xdr:colOff>637761</xdr:colOff>
      <xdr:row>25</xdr:row>
      <xdr:rowOff>120650</xdr:rowOff>
    </xdr:to>
    <xdr:sp macro="" textlink="">
      <xdr:nvSpPr>
        <xdr:cNvPr id="2" name="TextBox 1"/>
        <xdr:cNvSpPr txBox="1"/>
      </xdr:nvSpPr>
      <xdr:spPr>
        <a:xfrm>
          <a:off x="302613" y="152814"/>
          <a:ext cx="7059798" cy="464143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The Supreme Shoe Company</a:t>
          </a:r>
          <a:r>
            <a:rPr lang="en-US" sz="1100" baseline="0"/>
            <a:t> is considering the purchase of a new, fully-automated machine to replace a manually operated one. The machine being replaced, now 2 years old, originally had an expected life of 6 years, is being depreciated using as a 3-year MACRS asset from its purchase price of $25,000. It can be sold now for $1,200. </a:t>
          </a:r>
          <a:r>
            <a:rPr lang="en-US" sz="1100" b="0" baseline="0"/>
            <a:t>If the old machine is used for 4 more years instead of being replaced now, it is expected to have zero residual value at that time.</a:t>
          </a:r>
        </a:p>
        <a:p>
          <a:endParaRPr lang="en-US" sz="1100" baseline="0"/>
        </a:p>
        <a:p>
          <a:r>
            <a:rPr lang="en-US" sz="1100" baseline="0"/>
            <a:t>The annual costs of maintenance and defects on the old machine are $10,400 and $4,250 respectively. The replacement machine being considered has a purchase price of </a:t>
          </a:r>
          <a:r>
            <a:rPr lang="en-US" sz="1100" b="0" baseline="0"/>
            <a:t>$30,000 </a:t>
          </a:r>
          <a:r>
            <a:rPr lang="en-US" sz="1100" baseline="0"/>
            <a:t>and an expected salvage value of $15,000 at the end of its 4-year life. There will also be shipping and installation expenses of $2,400. Because the new machine would be more efficient, the constant investment in raw materials would decrease by a total of $5,750 from the current level with the old machine. The company expects that annual maintenance costs on the new machine will be $3,000 while defects will cost $2,500. </a:t>
          </a:r>
          <a:r>
            <a:rPr lang="en-US" sz="1100" b="0" baseline="0"/>
            <a:t>The new machine will be depreciated as a 3-year MACRS-class asset. </a:t>
          </a:r>
        </a:p>
        <a:p>
          <a:endParaRPr lang="en-US" sz="1100" baseline="0"/>
        </a:p>
        <a:p>
          <a:r>
            <a:rPr lang="en-US" sz="1100" baseline="0"/>
            <a:t>Before considering this project, the company undertook an engineering analysis of current facilities to determine if other changes would be necessitated by the purchase of the machine. The study cost the company $3,500 and determined that existing facilities could support this new machine with no other changes. In order to purchase the new machine, the company would have to take on new debt of $30,000 at 10% interest, resulting in increased interest expense of $3,000 per year. The required rate of return for this project is 12% and the company's marginal tax rate is 34%. </a:t>
          </a:r>
        </a:p>
        <a:p>
          <a:endParaRPr lang="en-US" sz="1100" baseline="0"/>
        </a:p>
        <a:p>
          <a:r>
            <a:rPr lang="en-US" sz="1100" baseline="0"/>
            <a:t>Use the space below to compute the initial outlay, the annual cash flows, and the terminal cash flows for this project. </a:t>
          </a:r>
          <a:r>
            <a:rPr lang="en-US" sz="1100" b="1" baseline="0"/>
            <a:t>The only inputs that need to be linked to your computations are the ones shown.  All other numbers can be entered straight into your formulas but all calculations need to done in the formulas. </a:t>
          </a:r>
          <a:r>
            <a:rPr lang="en-US" sz="1100" baseline="0"/>
            <a:t>The MACRS depreciation percentages are in the table to the right. </a:t>
          </a:r>
          <a:r>
            <a:rPr lang="en-US" sz="1100" b="1" baseline="0"/>
            <a:t>You do not need to do any lookup functions, and the model only needs to work for this time period and for this depreciation type. </a:t>
          </a:r>
          <a:r>
            <a:rPr lang="en-US" sz="1100" baseline="0"/>
            <a:t>Show all computations. Label all entries appropriately.  </a:t>
          </a:r>
          <a:r>
            <a:rPr lang="en-US" sz="1100" b="1" baseline="0"/>
            <a:t>THE NUMBER RESULTS ARE WHAT IS IMPORTANT, NOT THE FORMATTING. YOU CAN SET THIS UP ANY WAY THAT YOU WANT AS LONG AS THE 5 TOTAL CASH FLOWS GET COMPUTED CORRECTLY AND THEY ADJUST CORRECTLY TO THE INPUTS SHOWN.</a:t>
          </a:r>
        </a:p>
        <a:p>
          <a:endParaRPr lang="en-US" sz="1100" baseline="0"/>
        </a:p>
        <a:p>
          <a:endParaRPr lang="en-US" sz="1100" baseline="0"/>
        </a:p>
        <a:p>
          <a:endParaRPr lang="en-US" sz="1100"/>
        </a:p>
      </xdr:txBody>
    </xdr:sp>
    <xdr:clientData/>
  </xdr:twoCellAnchor>
  <xdr:twoCellAnchor>
    <xdr:from>
      <xdr:col>0</xdr:col>
      <xdr:colOff>302613</xdr:colOff>
      <xdr:row>0</xdr:row>
      <xdr:rowOff>152814</xdr:rowOff>
    </xdr:from>
    <xdr:to>
      <xdr:col>11</xdr:col>
      <xdr:colOff>637761</xdr:colOff>
      <xdr:row>25</xdr:row>
      <xdr:rowOff>120650</xdr:rowOff>
    </xdr:to>
    <xdr:sp macro="" textlink="">
      <xdr:nvSpPr>
        <xdr:cNvPr id="3" name="TextBox 2"/>
        <xdr:cNvSpPr txBox="1"/>
      </xdr:nvSpPr>
      <xdr:spPr>
        <a:xfrm>
          <a:off x="293088" y="152814"/>
          <a:ext cx="7450323" cy="480653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The Supreme Shoe Company</a:t>
          </a:r>
          <a:r>
            <a:rPr lang="en-US" sz="1100" baseline="0"/>
            <a:t> is considering the purchase of a new, fully-automated machine to replace a manually operated one. The machine being replaced, now 3 years old, originally had an expected life of 6 years, is being depreciated as a  5-year MACRS asset from its purchase price of $20,000. It can be sold now for $8,500. </a:t>
          </a:r>
          <a:r>
            <a:rPr lang="en-US" sz="1100" b="0" baseline="0"/>
            <a:t>If the old machine is used for 3 more years instead of being replaced now, it is expected to have  a $2,500 residual value at that time.</a:t>
          </a:r>
        </a:p>
        <a:p>
          <a:endParaRPr lang="en-US" sz="1100" baseline="0"/>
        </a:p>
        <a:p>
          <a:r>
            <a:rPr lang="en-US" sz="1100" baseline="0"/>
            <a:t>The annual costs of maintenance and defects on the old machine are $9,000 and $6,000 respectively. The replacement machine being considered has a purchase price of </a:t>
          </a:r>
          <a:r>
            <a:rPr lang="en-US" sz="1100" b="0" baseline="0"/>
            <a:t>$47,500 </a:t>
          </a:r>
          <a:r>
            <a:rPr lang="en-US" sz="1100" baseline="0"/>
            <a:t>and an expected salvage value of $12,000 at the end of its 3-year life. There will also be shipping and installation expenses of $3,000. Because the new machine would be more efficient, the constant investment in raw materials would decrease by a total of $5,000 from the current level with the old machine. The company expects that annual maintenance costs on the new machine will be $4,000 while defects will cost $2,250. The new machine will also result in additional productive capacity so sales will increase by $7,500 per year due to increased output. </a:t>
          </a:r>
          <a:r>
            <a:rPr lang="en-US" sz="1100" b="0" baseline="0"/>
            <a:t>The new machine will be depreciated as a 5-year MACRS-class asset. </a:t>
          </a:r>
        </a:p>
        <a:p>
          <a:endParaRPr lang="en-US" sz="1100" baseline="0"/>
        </a:p>
        <a:p>
          <a:r>
            <a:rPr lang="en-US" sz="1100" baseline="0"/>
            <a:t>Before considering this project, the company undertook an engineering analysis of current facilities to determine if other changes would be necessitated by the purchase of the machine. The study cost the company $8,500 and determined that existing facilities could support this new machine with no other changes. In order to purchase the new machine, the company would have to take on new debt of $40.000 at 9% interest, resulting in increased interest expense of $3,600 per year. The required rate of return for this project is 12% and the company's marginal tax rate is 34%. </a:t>
          </a:r>
        </a:p>
        <a:p>
          <a:endParaRPr lang="en-US" sz="1100" baseline="0"/>
        </a:p>
        <a:p>
          <a:r>
            <a:rPr lang="en-US" sz="1100" baseline="0"/>
            <a:t>Use the space below to compute the initial outlay, the annual cash flows, and the terminal cash flows for this project. </a:t>
          </a:r>
          <a:r>
            <a:rPr lang="en-US" sz="1100" b="1" baseline="0"/>
            <a:t>The only inputs that need to be linked to your computations are the ones shown.  All other numbers can be entered straight into your formulas but all calculations need to done in the formulas. </a:t>
          </a:r>
          <a:r>
            <a:rPr lang="en-US" sz="1100" baseline="0"/>
            <a:t>The MACRS depreciation percentages are in the table to the right. </a:t>
          </a:r>
          <a:r>
            <a:rPr lang="en-US" sz="1100" b="1" baseline="0"/>
            <a:t>You do not need to do any lookup functions, and the model only needs to work for this time period and for this depreciation type. </a:t>
          </a:r>
          <a:r>
            <a:rPr lang="en-US" sz="1100" baseline="0"/>
            <a:t>Show all computations. Label all entries appropriately.  </a:t>
          </a:r>
          <a:r>
            <a:rPr lang="en-US" sz="1100" b="1" baseline="0"/>
            <a:t>THE NUMBER RESULTS ARE WHAT IS IMPORTANT, NOT THE FORMATTING. YOU CAN SET THIS UP ANY WAY THAT YOU WANT AS LONG AS THE 4 TOTAL CASH FLOWS GET COMPUTED CORRECTLY AND THEY ADJUST CORRECTLY TO THE INPUTS SHOWN.</a:t>
          </a:r>
        </a:p>
        <a:p>
          <a:endParaRPr lang="en-US" sz="1100" baseline="0"/>
        </a:p>
        <a:p>
          <a:endParaRPr lang="en-US" sz="1100" baseline="0"/>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99391</xdr:colOff>
      <xdr:row>25</xdr:row>
      <xdr:rowOff>16564</xdr:rowOff>
    </xdr:from>
    <xdr:to>
      <xdr:col>7</xdr:col>
      <xdr:colOff>323022</xdr:colOff>
      <xdr:row>32</xdr:row>
      <xdr:rowOff>115956</xdr:rowOff>
    </xdr:to>
    <xdr:sp macro="" textlink="">
      <xdr:nvSpPr>
        <xdr:cNvPr id="2" name="TextBox 1"/>
        <xdr:cNvSpPr txBox="1"/>
      </xdr:nvSpPr>
      <xdr:spPr>
        <a:xfrm>
          <a:off x="480391" y="5085521"/>
          <a:ext cx="4555435" cy="123410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Using the inputs above and the column of discount rates below,</a:t>
          </a:r>
          <a:r>
            <a:rPr lang="en-US" sz="1100" baseline="0"/>
            <a:t> create a data table the automatically calculates the Equivalent Annual Annuity for the project in Column D and the NPV of the project in Column E using the various discount </a:t>
          </a:r>
          <a:r>
            <a:rPr lang="en-US" sz="1100" baseline="0">
              <a:solidFill>
                <a:schemeClr val="tx1"/>
              </a:solidFill>
            </a:rPr>
            <a:t>rates</a:t>
          </a:r>
          <a:r>
            <a:rPr lang="en-US" sz="1100" baseline="0"/>
            <a:t> in Column C. Use the data table to create an NPV Profile graph. Place your graph below the data table and format it appropriately.  [10 Points]</a:t>
          </a:r>
          <a:endParaRPr lang="en-US" sz="1100"/>
        </a:p>
      </xdr:txBody>
    </xdr:sp>
    <xdr:clientData/>
  </xdr:twoCellAnchor>
  <xdr:twoCellAnchor>
    <xdr:from>
      <xdr:col>2</xdr:col>
      <xdr:colOff>99392</xdr:colOff>
      <xdr:row>53</xdr:row>
      <xdr:rowOff>41413</xdr:rowOff>
    </xdr:from>
    <xdr:to>
      <xdr:col>9</xdr:col>
      <xdr:colOff>66262</xdr:colOff>
      <xdr:row>67</xdr:row>
      <xdr:rowOff>115956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B1:B28"/>
  <sheetViews>
    <sheetView topLeftCell="A16" zoomScale="130" zoomScaleNormal="130" workbookViewId="0">
      <selection activeCell="K19" sqref="K19"/>
    </sheetView>
  </sheetViews>
  <sheetFormatPr defaultColWidth="8.7265625" defaultRowHeight="14.5"/>
  <cols>
    <col min="1" max="1" width="4.453125" style="2" customWidth="1"/>
    <col min="2" max="16384" width="8.7265625" style="2"/>
  </cols>
  <sheetData>
    <row r="1" spans="2:2" ht="10" customHeight="1"/>
    <row r="2" spans="2:2" ht="19.5" customHeight="1">
      <c r="B2" s="52" t="s">
        <v>40</v>
      </c>
    </row>
    <row r="3" spans="2:2" ht="19.5" customHeight="1">
      <c r="B3" s="52" t="s">
        <v>80</v>
      </c>
    </row>
    <row r="4" spans="2:2" ht="19.5" customHeight="1">
      <c r="B4" s="52" t="s">
        <v>81</v>
      </c>
    </row>
    <row r="5" spans="2:2" ht="7" customHeight="1">
      <c r="B5" s="52"/>
    </row>
    <row r="6" spans="2:2" ht="19.5" customHeight="1">
      <c r="B6" s="52" t="s">
        <v>41</v>
      </c>
    </row>
    <row r="7" spans="2:2" ht="19.5" customHeight="1">
      <c r="B7" s="52" t="s">
        <v>42</v>
      </c>
    </row>
    <row r="8" spans="2:2" ht="19.5" customHeight="1">
      <c r="B8" s="52" t="s">
        <v>43</v>
      </c>
    </row>
    <row r="9" spans="2:2" ht="4.5" customHeight="1">
      <c r="B9" s="52"/>
    </row>
    <row r="10" spans="2:2" ht="19.5" customHeight="1">
      <c r="B10" s="52" t="s">
        <v>44</v>
      </c>
    </row>
    <row r="11" spans="2:2" ht="19.5" customHeight="1">
      <c r="B11" s="52" t="s">
        <v>45</v>
      </c>
    </row>
    <row r="12" spans="2:2" ht="3.65" customHeight="1">
      <c r="B12" s="52"/>
    </row>
    <row r="13" spans="2:2" ht="19.5" customHeight="1">
      <c r="B13" s="52" t="s">
        <v>46</v>
      </c>
    </row>
    <row r="14" spans="2:2" ht="13.5" customHeight="1">
      <c r="B14" s="52"/>
    </row>
    <row r="15" spans="2:2" ht="16.5" customHeight="1">
      <c r="B15" s="2" t="s">
        <v>75</v>
      </c>
    </row>
    <row r="16" spans="2:2" ht="18" customHeight="1">
      <c r="B16" s="52" t="s">
        <v>76</v>
      </c>
    </row>
    <row r="17" spans="2:2" ht="16.5" customHeight="1">
      <c r="B17" s="2" t="s">
        <v>47</v>
      </c>
    </row>
    <row r="18" spans="2:2" ht="16.5" customHeight="1">
      <c r="B18" s="2" t="s">
        <v>49</v>
      </c>
    </row>
    <row r="19" spans="2:2" ht="16.5" customHeight="1"/>
    <row r="20" spans="2:2" ht="16.5" customHeight="1">
      <c r="B20" s="2" t="s">
        <v>82</v>
      </c>
    </row>
    <row r="21" spans="2:2" ht="16.5" customHeight="1">
      <c r="B21" s="2" t="s">
        <v>83</v>
      </c>
    </row>
    <row r="22" spans="2:2" ht="8.15" customHeight="1"/>
    <row r="23" spans="2:2" ht="18.5">
      <c r="B23" s="52" t="s">
        <v>48</v>
      </c>
    </row>
    <row r="24" spans="2:2" ht="21">
      <c r="B24" s="53" t="s">
        <v>50</v>
      </c>
    </row>
    <row r="25" spans="2:2" ht="21">
      <c r="B25" s="53" t="s">
        <v>51</v>
      </c>
    </row>
    <row r="26" spans="2:2" ht="21">
      <c r="B26" s="53" t="s">
        <v>77</v>
      </c>
    </row>
    <row r="27" spans="2:2" ht="21">
      <c r="B27" s="53" t="s">
        <v>78</v>
      </c>
    </row>
    <row r="28" spans="2:2" ht="21">
      <c r="B28" s="53" t="s">
        <v>79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8:AJ144"/>
  <sheetViews>
    <sheetView tabSelected="1" topLeftCell="A31" workbookViewId="0">
      <selection activeCell="E70" sqref="E70"/>
    </sheetView>
  </sheetViews>
  <sheetFormatPr defaultColWidth="9.1796875" defaultRowHeight="14.5"/>
  <cols>
    <col min="1" max="1" width="4.453125" style="2" customWidth="1"/>
    <col min="2" max="2" width="9.1796875" style="2" bestFit="1" customWidth="1"/>
    <col min="3" max="3" width="9.1796875" style="2"/>
    <col min="4" max="4" width="12.26953125" style="2" customWidth="1"/>
    <col min="5" max="5" width="11.7265625" style="2" bestFit="1" customWidth="1"/>
    <col min="6" max="6" width="9.1796875" style="2"/>
    <col min="7" max="7" width="18" style="2" customWidth="1"/>
    <col min="8" max="8" width="0.54296875" style="2" customWidth="1"/>
    <col min="9" max="11" width="12" style="2" customWidth="1"/>
    <col min="12" max="12" width="10.7265625" style="2" customWidth="1"/>
    <col min="13" max="14" width="9.1796875" style="2"/>
    <col min="15" max="15" width="10.54296875" style="2" bestFit="1" customWidth="1"/>
    <col min="16" max="16384" width="9.1796875" style="2"/>
  </cols>
  <sheetData>
    <row r="8" spans="13:17" ht="19" thickBot="1">
      <c r="M8" s="67" t="s">
        <v>0</v>
      </c>
      <c r="N8" s="67"/>
      <c r="O8" s="67"/>
      <c r="P8" s="67"/>
      <c r="Q8" s="67"/>
    </row>
    <row r="9" spans="13:17" ht="15" thickBot="1">
      <c r="M9" s="16" t="s">
        <v>1</v>
      </c>
      <c r="N9" s="17" t="s">
        <v>2</v>
      </c>
      <c r="O9" s="17" t="s">
        <v>3</v>
      </c>
      <c r="P9" s="17" t="s">
        <v>4</v>
      </c>
      <c r="Q9" s="18" t="s">
        <v>5</v>
      </c>
    </row>
    <row r="10" spans="13:17">
      <c r="M10" s="13">
        <v>1</v>
      </c>
      <c r="N10" s="14">
        <v>0.33329999999999999</v>
      </c>
      <c r="O10" s="14">
        <v>0.2</v>
      </c>
      <c r="P10" s="14">
        <v>0.1429</v>
      </c>
      <c r="Q10" s="15">
        <v>0.1</v>
      </c>
    </row>
    <row r="11" spans="13:17">
      <c r="M11" s="9">
        <v>2</v>
      </c>
      <c r="N11" s="8">
        <v>0.44450000000000001</v>
      </c>
      <c r="O11" s="8">
        <v>0.32</v>
      </c>
      <c r="P11" s="8">
        <v>0.24490000000000001</v>
      </c>
      <c r="Q11" s="10">
        <v>0.18</v>
      </c>
    </row>
    <row r="12" spans="13:17">
      <c r="M12" s="9">
        <v>3</v>
      </c>
      <c r="N12" s="8">
        <v>0.14810000000000001</v>
      </c>
      <c r="O12" s="8">
        <v>0.192</v>
      </c>
      <c r="P12" s="8">
        <v>0.1749</v>
      </c>
      <c r="Q12" s="10">
        <v>0.14399999999999999</v>
      </c>
    </row>
    <row r="13" spans="13:17">
      <c r="M13" s="9">
        <v>4</v>
      </c>
      <c r="N13" s="8">
        <v>7.4099999999999999E-2</v>
      </c>
      <c r="O13" s="8">
        <v>0.1152</v>
      </c>
      <c r="P13" s="8">
        <v>0.1249</v>
      </c>
      <c r="Q13" s="10">
        <v>0.1152</v>
      </c>
    </row>
    <row r="14" spans="13:17">
      <c r="M14" s="9">
        <v>5</v>
      </c>
      <c r="N14" s="19"/>
      <c r="O14" s="8">
        <v>0.1152</v>
      </c>
      <c r="P14" s="8">
        <v>8.9300000000000004E-2</v>
      </c>
      <c r="Q14" s="10">
        <v>9.2200000000000004E-2</v>
      </c>
    </row>
    <row r="15" spans="13:17">
      <c r="M15" s="9">
        <v>6</v>
      </c>
      <c r="N15" s="19"/>
      <c r="O15" s="8">
        <v>5.7599999999999998E-2</v>
      </c>
      <c r="P15" s="8">
        <v>8.9200000000000002E-2</v>
      </c>
      <c r="Q15" s="10">
        <v>7.3700000000000002E-2</v>
      </c>
    </row>
    <row r="16" spans="13:17">
      <c r="M16" s="9">
        <v>7</v>
      </c>
      <c r="N16" s="19"/>
      <c r="O16" s="19"/>
      <c r="P16" s="8">
        <v>8.9300000000000004E-2</v>
      </c>
      <c r="Q16" s="10">
        <v>6.5500000000000003E-2</v>
      </c>
    </row>
    <row r="17" spans="1:36">
      <c r="M17" s="9">
        <v>8</v>
      </c>
      <c r="N17" s="19"/>
      <c r="O17" s="19"/>
      <c r="P17" s="8">
        <v>4.4600000000000001E-2</v>
      </c>
      <c r="Q17" s="10">
        <v>6.5500000000000003E-2</v>
      </c>
    </row>
    <row r="18" spans="1:36">
      <c r="M18" s="9">
        <v>9</v>
      </c>
      <c r="N18" s="19"/>
      <c r="O18" s="19"/>
      <c r="P18" s="19"/>
      <c r="Q18" s="10">
        <v>6.5600000000000006E-2</v>
      </c>
    </row>
    <row r="19" spans="1:36">
      <c r="M19" s="9">
        <v>10</v>
      </c>
      <c r="N19" s="19"/>
      <c r="O19" s="19"/>
      <c r="P19" s="19"/>
      <c r="Q19" s="10">
        <v>6.5500000000000003E-2</v>
      </c>
    </row>
    <row r="20" spans="1:36" ht="15" thickBot="1">
      <c r="M20" s="11">
        <v>11</v>
      </c>
      <c r="N20" s="20"/>
      <c r="O20" s="20"/>
      <c r="P20" s="20"/>
      <c r="Q20" s="12">
        <v>3.2800000000000003E-2</v>
      </c>
    </row>
    <row r="27" spans="1:36" ht="21">
      <c r="A27" s="1"/>
      <c r="B27" s="66" t="s">
        <v>6</v>
      </c>
      <c r="C27" s="66"/>
      <c r="D27" s="66"/>
      <c r="E27" s="66"/>
      <c r="F27" s="66"/>
      <c r="G27" s="66"/>
      <c r="H27" s="66"/>
      <c r="I27" s="66"/>
      <c r="J27" s="66"/>
      <c r="K27" s="66"/>
      <c r="L27" s="66"/>
      <c r="M27" s="1"/>
      <c r="N27" s="1"/>
      <c r="O27" s="1"/>
      <c r="P27" s="1"/>
      <c r="Q27" s="1"/>
      <c r="R27" s="1"/>
      <c r="S27" s="1"/>
      <c r="T27" s="1"/>
      <c r="U27" s="1"/>
      <c r="V27" s="1"/>
      <c r="W27" s="1"/>
      <c r="X27" s="1"/>
      <c r="Y27" s="1"/>
      <c r="Z27" s="1"/>
      <c r="AA27" s="1"/>
      <c r="AB27" s="1"/>
      <c r="AC27" s="1"/>
      <c r="AD27" s="1"/>
      <c r="AE27" s="1"/>
      <c r="AF27" s="1"/>
      <c r="AG27" s="1"/>
      <c r="AH27" s="1"/>
      <c r="AI27" s="1"/>
      <c r="AJ27" s="1"/>
    </row>
    <row r="28" spans="1:36">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row>
    <row r="29" spans="1:36">
      <c r="A29" s="1"/>
      <c r="B29" s="4" t="s">
        <v>7</v>
      </c>
      <c r="C29" s="4"/>
      <c r="D29" s="4"/>
      <c r="E29" s="4"/>
      <c r="F29" s="4" t="s">
        <v>8</v>
      </c>
      <c r="G29" s="4"/>
      <c r="H29" s="23"/>
      <c r="I29" s="4"/>
      <c r="J29" s="4" t="s">
        <v>13</v>
      </c>
      <c r="M29" s="1"/>
      <c r="N29" s="1"/>
      <c r="O29" s="1"/>
      <c r="P29" s="1"/>
      <c r="Q29" s="1"/>
      <c r="R29" s="1"/>
      <c r="S29" s="1"/>
      <c r="T29" s="1"/>
      <c r="U29" s="1"/>
      <c r="V29" s="1"/>
      <c r="W29" s="1"/>
      <c r="X29" s="1"/>
      <c r="Y29" s="1"/>
      <c r="Z29" s="1"/>
      <c r="AA29" s="1"/>
      <c r="AB29" s="1"/>
      <c r="AC29" s="1"/>
      <c r="AD29" s="1"/>
      <c r="AE29" s="1"/>
      <c r="AF29" s="1"/>
      <c r="AG29" s="1"/>
      <c r="AH29" s="1"/>
      <c r="AI29" s="1"/>
      <c r="AJ29" s="1"/>
    </row>
    <row r="30" spans="1:36">
      <c r="A30" s="1"/>
      <c r="B30" s="5" t="s">
        <v>9</v>
      </c>
      <c r="E30" s="7">
        <v>20000</v>
      </c>
      <c r="F30" s="5" t="s">
        <v>9</v>
      </c>
      <c r="I30" s="7">
        <v>47500</v>
      </c>
      <c r="J30" s="5" t="s">
        <v>14</v>
      </c>
      <c r="L30" s="22">
        <v>0.34</v>
      </c>
      <c r="M30" s="1"/>
      <c r="N30" s="1"/>
      <c r="O30" s="1"/>
      <c r="P30" s="1"/>
      <c r="Q30" s="1"/>
      <c r="R30" s="1"/>
      <c r="S30" s="1"/>
      <c r="T30" s="1"/>
      <c r="U30" s="1"/>
      <c r="V30" s="1"/>
      <c r="W30" s="1"/>
      <c r="X30" s="1"/>
      <c r="Y30" s="1"/>
      <c r="Z30" s="1"/>
      <c r="AA30" s="1"/>
      <c r="AB30" s="1"/>
      <c r="AC30" s="1"/>
      <c r="AD30" s="1"/>
      <c r="AE30" s="1"/>
      <c r="AF30" s="1"/>
      <c r="AG30" s="1"/>
      <c r="AH30" s="1"/>
      <c r="AI30" s="1"/>
      <c r="AJ30" s="1"/>
    </row>
    <row r="31" spans="1:36">
      <c r="A31" s="1"/>
      <c r="B31" s="5" t="s">
        <v>10</v>
      </c>
      <c r="E31" s="7">
        <v>8500</v>
      </c>
      <c r="F31" s="5" t="s">
        <v>11</v>
      </c>
      <c r="I31" s="7">
        <v>3000</v>
      </c>
      <c r="J31" s="5" t="s">
        <v>15</v>
      </c>
      <c r="L31" s="22">
        <v>0.12</v>
      </c>
      <c r="M31" s="1"/>
      <c r="N31" s="1"/>
      <c r="O31" s="1"/>
      <c r="P31" s="1"/>
      <c r="Q31" s="1"/>
      <c r="R31" s="1"/>
      <c r="S31" s="1"/>
      <c r="T31" s="1"/>
      <c r="U31" s="1"/>
      <c r="V31" s="1"/>
      <c r="W31" s="1"/>
      <c r="X31" s="1"/>
      <c r="Y31" s="1"/>
      <c r="Z31" s="1"/>
      <c r="AA31" s="1"/>
      <c r="AB31" s="1"/>
      <c r="AC31" s="1"/>
      <c r="AD31" s="1"/>
      <c r="AE31" s="1"/>
      <c r="AF31" s="1"/>
      <c r="AG31" s="1"/>
      <c r="AH31" s="1"/>
      <c r="AI31" s="1"/>
      <c r="AJ31" s="1"/>
    </row>
    <row r="32" spans="1:36">
      <c r="A32" s="1"/>
      <c r="B32" s="5" t="s">
        <v>52</v>
      </c>
      <c r="E32" s="7">
        <v>2500</v>
      </c>
      <c r="F32" s="5" t="s">
        <v>52</v>
      </c>
      <c r="I32" s="7">
        <v>12000</v>
      </c>
      <c r="J32" s="3"/>
      <c r="K32" s="1"/>
      <c r="L32" s="1"/>
      <c r="M32" s="1"/>
      <c r="N32" s="1"/>
      <c r="O32" s="1"/>
      <c r="P32" s="1"/>
      <c r="Q32" s="1"/>
      <c r="R32" s="1"/>
      <c r="S32" s="1"/>
      <c r="T32" s="1"/>
      <c r="U32" s="1"/>
      <c r="V32" s="1"/>
      <c r="W32" s="1"/>
      <c r="X32" s="1"/>
      <c r="Y32" s="1"/>
      <c r="Z32" s="1"/>
      <c r="AA32" s="1"/>
      <c r="AB32" s="1"/>
      <c r="AC32" s="1"/>
      <c r="AD32" s="1"/>
      <c r="AE32" s="1"/>
      <c r="AF32" s="1"/>
      <c r="AG32" s="1"/>
      <c r="AH32" s="1"/>
      <c r="AI32" s="1"/>
      <c r="AJ32" s="1"/>
    </row>
    <row r="33" spans="1:36">
      <c r="A33" s="1"/>
      <c r="B33" s="5" t="s">
        <v>12</v>
      </c>
      <c r="E33" s="7">
        <v>15000</v>
      </c>
      <c r="F33" s="5" t="s">
        <v>12</v>
      </c>
      <c r="I33" s="7">
        <v>6250</v>
      </c>
      <c r="J33" s="3"/>
      <c r="K33" s="1"/>
      <c r="L33" s="1"/>
      <c r="M33" s="1"/>
      <c r="N33" s="1"/>
      <c r="O33" s="1"/>
      <c r="P33" s="1"/>
      <c r="Q33" s="1"/>
      <c r="R33" s="1"/>
      <c r="S33" s="1"/>
      <c r="T33" s="1"/>
      <c r="U33" s="1"/>
      <c r="V33" s="1"/>
      <c r="W33" s="1"/>
      <c r="X33" s="1"/>
      <c r="Y33" s="1"/>
      <c r="Z33" s="1"/>
      <c r="AA33" s="1"/>
      <c r="AB33" s="1"/>
      <c r="AC33" s="1"/>
      <c r="AD33" s="1"/>
      <c r="AE33" s="1"/>
      <c r="AF33" s="1"/>
      <c r="AG33" s="1"/>
      <c r="AH33" s="1"/>
      <c r="AI33" s="1"/>
      <c r="AJ33" s="1"/>
    </row>
    <row r="34" spans="1:36">
      <c r="A34" s="1"/>
      <c r="B34" s="5"/>
      <c r="E34" s="7"/>
      <c r="F34" s="5" t="s">
        <v>84</v>
      </c>
      <c r="I34" s="7">
        <v>7500</v>
      </c>
      <c r="J34" s="3"/>
      <c r="K34" s="1"/>
      <c r="L34" s="1"/>
      <c r="M34" s="1"/>
      <c r="N34" s="1"/>
      <c r="O34" s="1"/>
      <c r="P34" s="1"/>
      <c r="Q34" s="1"/>
      <c r="R34" s="1"/>
      <c r="S34" s="1"/>
      <c r="T34" s="1"/>
      <c r="U34" s="1"/>
      <c r="V34" s="1"/>
      <c r="W34" s="1"/>
      <c r="X34" s="1"/>
      <c r="Y34" s="1"/>
      <c r="Z34" s="1"/>
      <c r="AA34" s="1"/>
      <c r="AB34" s="1"/>
      <c r="AC34" s="1"/>
      <c r="AD34" s="1"/>
      <c r="AE34" s="1"/>
      <c r="AF34" s="1"/>
      <c r="AG34" s="1"/>
      <c r="AH34" s="1"/>
      <c r="AI34" s="1"/>
      <c r="AJ34" s="1"/>
    </row>
    <row r="35" spans="1:36">
      <c r="A35" s="1"/>
      <c r="B35" s="3"/>
      <c r="E35" s="7"/>
      <c r="J35" s="3"/>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ht="21">
      <c r="A36" s="1"/>
      <c r="B36" s="66" t="s">
        <v>16</v>
      </c>
      <c r="C36" s="66"/>
      <c r="D36" s="66"/>
      <c r="E36" s="66"/>
      <c r="F36" s="66"/>
      <c r="G36" s="66"/>
      <c r="H36" s="66"/>
      <c r="I36" s="66"/>
      <c r="J36" s="66"/>
      <c r="K36" s="66"/>
      <c r="L36" s="66"/>
      <c r="M36" s="1"/>
      <c r="N36" s="1"/>
      <c r="O36" s="1"/>
      <c r="P36" s="1"/>
      <c r="Q36" s="1"/>
      <c r="R36" s="1"/>
      <c r="S36" s="1"/>
      <c r="T36" s="1"/>
      <c r="U36" s="1"/>
      <c r="V36" s="1"/>
      <c r="W36" s="1"/>
      <c r="X36" s="1"/>
      <c r="Y36" s="1"/>
      <c r="Z36" s="1"/>
      <c r="AA36" s="1"/>
      <c r="AB36" s="1"/>
      <c r="AC36" s="1"/>
      <c r="AD36" s="1"/>
      <c r="AE36" s="1"/>
      <c r="AF36" s="1"/>
      <c r="AG36" s="1"/>
      <c r="AH36" s="1"/>
      <c r="AI36" s="1"/>
      <c r="AJ36" s="1"/>
    </row>
    <row r="37" spans="1:36" ht="9.75" customHeight="1">
      <c r="A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s="1" customFormat="1"/>
    <row r="39" spans="1:36" s="1" customFormat="1">
      <c r="B39" s="68" t="s">
        <v>88</v>
      </c>
      <c r="C39" s="68"/>
      <c r="D39" s="68"/>
      <c r="E39" s="68"/>
      <c r="G39" s="68" t="s">
        <v>123</v>
      </c>
      <c r="H39" s="68"/>
      <c r="I39" s="68"/>
      <c r="J39" s="68"/>
      <c r="K39" s="68"/>
    </row>
    <row r="40" spans="1:36" s="1" customFormat="1">
      <c r="B40" s="1" t="s">
        <v>89</v>
      </c>
      <c r="E40" s="1">
        <v>-47500</v>
      </c>
      <c r="I40" s="1" t="s">
        <v>90</v>
      </c>
      <c r="J40" s="1" t="s">
        <v>91</v>
      </c>
      <c r="K40" s="1" t="s">
        <v>92</v>
      </c>
      <c r="O40" s="60">
        <f>O10+O11+O12</f>
        <v>0.71199999999999997</v>
      </c>
    </row>
    <row r="41" spans="1:36" s="1" customFormat="1">
      <c r="B41" s="1" t="s">
        <v>93</v>
      </c>
      <c r="E41" s="1">
        <v>-3000</v>
      </c>
      <c r="G41" s="1" t="s">
        <v>94</v>
      </c>
      <c r="I41" s="1">
        <f>47500*O10</f>
        <v>9500</v>
      </c>
      <c r="J41" s="1">
        <f>47500*0.32</f>
        <v>15200</v>
      </c>
      <c r="K41" s="1">
        <f>47500*0.192</f>
        <v>9120</v>
      </c>
      <c r="O41" s="1">
        <f>20000*O40</f>
        <v>14240</v>
      </c>
    </row>
    <row r="42" spans="1:36" s="1" customFormat="1">
      <c r="B42" s="1" t="s">
        <v>95</v>
      </c>
      <c r="E42" s="1">
        <v>5000</v>
      </c>
      <c r="G42" s="1" t="s">
        <v>96</v>
      </c>
      <c r="I42" s="1">
        <f>20000*O13</f>
        <v>2304</v>
      </c>
      <c r="J42" s="1">
        <f>20000*O14</f>
        <v>2304</v>
      </c>
      <c r="K42" s="1">
        <f>20000*O15</f>
        <v>1152</v>
      </c>
      <c r="O42" s="1">
        <f>20000-O41</f>
        <v>5760</v>
      </c>
    </row>
    <row r="43" spans="1:36" s="1" customFormat="1">
      <c r="B43" s="1" t="s">
        <v>98</v>
      </c>
      <c r="E43" s="1">
        <v>8500</v>
      </c>
      <c r="G43" s="1" t="s">
        <v>99</v>
      </c>
      <c r="I43" s="1">
        <f>I41-I42</f>
        <v>7196</v>
      </c>
      <c r="J43" s="1">
        <f t="shared" ref="J43:K43" si="0">J41-J42</f>
        <v>12896</v>
      </c>
      <c r="K43" s="1">
        <f t="shared" si="0"/>
        <v>7968</v>
      </c>
    </row>
    <row r="44" spans="1:36" s="1" customFormat="1">
      <c r="B44" s="1" t="s">
        <v>100</v>
      </c>
      <c r="D44" s="1">
        <v>5760</v>
      </c>
    </row>
    <row r="45" spans="1:36" s="1" customFormat="1">
      <c r="B45" s="1" t="s">
        <v>121</v>
      </c>
      <c r="D45" s="1">
        <f>E43-D44</f>
        <v>2740</v>
      </c>
      <c r="G45" s="1" t="s">
        <v>122</v>
      </c>
      <c r="I45" s="1">
        <v>7500</v>
      </c>
      <c r="J45" s="1">
        <v>7500</v>
      </c>
      <c r="K45" s="1">
        <v>7500</v>
      </c>
    </row>
    <row r="46" spans="1:36" s="1" customFormat="1" ht="16">
      <c r="B46" s="1" t="s">
        <v>102</v>
      </c>
      <c r="E46" s="61">
        <f>-L30*D45</f>
        <v>-931.6</v>
      </c>
      <c r="G46" s="1" t="s">
        <v>101</v>
      </c>
      <c r="I46" s="1">
        <f>15000-6250</f>
        <v>8750</v>
      </c>
      <c r="J46" s="1">
        <f t="shared" ref="J46:K46" si="1">15000-6250</f>
        <v>8750</v>
      </c>
      <c r="K46" s="1">
        <f t="shared" si="1"/>
        <v>8750</v>
      </c>
    </row>
    <row r="47" spans="1:36" s="1" customFormat="1" ht="16">
      <c r="B47" s="1" t="s">
        <v>104</v>
      </c>
      <c r="E47" s="1">
        <f>SUM(E40:E46)</f>
        <v>-37931.599999999999</v>
      </c>
      <c r="G47" s="1" t="s">
        <v>103</v>
      </c>
      <c r="I47" s="61">
        <f>-I43</f>
        <v>-7196</v>
      </c>
      <c r="J47" s="61">
        <f t="shared" ref="J47:K47" si="2">-J43</f>
        <v>-12896</v>
      </c>
      <c r="K47" s="61">
        <f t="shared" si="2"/>
        <v>-7968</v>
      </c>
    </row>
    <row r="48" spans="1:36" s="1" customFormat="1">
      <c r="G48" s="1" t="s">
        <v>105</v>
      </c>
      <c r="I48" s="1">
        <f>SUM(I45:I47)</f>
        <v>9054</v>
      </c>
      <c r="J48" s="1">
        <f t="shared" ref="J48:K48" si="3">SUM(J45:J47)</f>
        <v>3354</v>
      </c>
      <c r="K48" s="1">
        <f t="shared" si="3"/>
        <v>8282</v>
      </c>
    </row>
    <row r="49" spans="7:14" s="1" customFormat="1" ht="16">
      <c r="G49" s="1" t="s">
        <v>106</v>
      </c>
      <c r="I49" s="61">
        <f>-$L$30*I48</f>
        <v>-3078.36</v>
      </c>
      <c r="J49" s="61">
        <f t="shared" ref="J49:K49" si="4">-$L$30*J48</f>
        <v>-1140.3600000000001</v>
      </c>
      <c r="K49" s="61">
        <f t="shared" si="4"/>
        <v>-2815.88</v>
      </c>
    </row>
    <row r="50" spans="7:14" s="1" customFormat="1">
      <c r="G50" s="1" t="s">
        <v>107</v>
      </c>
      <c r="I50" s="1">
        <f>SUM(I48:I49)</f>
        <v>5975.6399999999994</v>
      </c>
      <c r="J50" s="1">
        <f t="shared" ref="J50:K50" si="5">SUM(J48:J49)</f>
        <v>2213.64</v>
      </c>
      <c r="K50" s="1">
        <f t="shared" si="5"/>
        <v>5466.12</v>
      </c>
    </row>
    <row r="51" spans="7:14" s="1" customFormat="1" ht="16">
      <c r="G51" s="1" t="s">
        <v>108</v>
      </c>
      <c r="I51" s="61">
        <f>-I47</f>
        <v>7196</v>
      </c>
      <c r="J51" s="61">
        <f t="shared" ref="J51:K51" si="6">-J47</f>
        <v>12896</v>
      </c>
      <c r="K51" s="61">
        <f t="shared" si="6"/>
        <v>7968</v>
      </c>
    </row>
    <row r="52" spans="7:14" s="1" customFormat="1">
      <c r="G52" s="1" t="s">
        <v>109</v>
      </c>
      <c r="I52" s="1">
        <f>SUM(I50:I51)</f>
        <v>13171.64</v>
      </c>
      <c r="J52" s="1">
        <f t="shared" ref="J52:K52" si="7">SUM(J50:J51)</f>
        <v>15109.64</v>
      </c>
      <c r="K52" s="1">
        <f t="shared" si="7"/>
        <v>13434.119999999999</v>
      </c>
    </row>
    <row r="53" spans="7:14" s="1" customFormat="1">
      <c r="G53" s="1" t="s">
        <v>110</v>
      </c>
      <c r="I53" s="1" t="s">
        <v>97</v>
      </c>
      <c r="J53" s="1" t="s">
        <v>97</v>
      </c>
      <c r="K53" s="1">
        <f>-E42</f>
        <v>-5000</v>
      </c>
    </row>
    <row r="54" spans="7:14" s="1" customFormat="1" ht="16">
      <c r="G54" s="1" t="s">
        <v>111</v>
      </c>
      <c r="I54" s="61" t="s">
        <v>97</v>
      </c>
      <c r="J54" s="61" t="s">
        <v>97</v>
      </c>
      <c r="K54" s="61">
        <f>K62</f>
        <v>10921.199999999999</v>
      </c>
    </row>
    <row r="55" spans="7:14" s="1" customFormat="1">
      <c r="G55" s="1" t="s">
        <v>112</v>
      </c>
      <c r="I55" s="1">
        <f>SUM(I52:I54)</f>
        <v>13171.64</v>
      </c>
      <c r="J55" s="1">
        <f t="shared" ref="J55:K55" si="8">SUM(J52:J54)</f>
        <v>15109.64</v>
      </c>
      <c r="K55" s="1">
        <f t="shared" si="8"/>
        <v>19355.32</v>
      </c>
    </row>
    <row r="56" spans="7:14" s="1" customFormat="1"/>
    <row r="57" spans="7:14" s="1" customFormat="1">
      <c r="I57" s="1" t="s">
        <v>113</v>
      </c>
      <c r="J57" s="1" t="s">
        <v>114</v>
      </c>
      <c r="K57" s="1" t="s">
        <v>115</v>
      </c>
    </row>
    <row r="58" spans="7:14" s="1" customFormat="1">
      <c r="G58" s="1" t="s">
        <v>116</v>
      </c>
      <c r="I58" s="1">
        <v>12000</v>
      </c>
      <c r="J58" s="1">
        <v>2500</v>
      </c>
      <c r="N58" s="14">
        <v>0.2</v>
      </c>
    </row>
    <row r="59" spans="7:14" s="1" customFormat="1">
      <c r="G59" s="1" t="s">
        <v>117</v>
      </c>
      <c r="I59" s="1">
        <f>I30*0.288</f>
        <v>13679.999999999998</v>
      </c>
      <c r="J59" s="1">
        <v>0</v>
      </c>
      <c r="N59" s="8">
        <v>0.32</v>
      </c>
    </row>
    <row r="60" spans="7:14" s="1" customFormat="1">
      <c r="G60" s="1" t="s">
        <v>118</v>
      </c>
      <c r="I60" s="1">
        <f>I58-I59</f>
        <v>-1679.9999999999982</v>
      </c>
      <c r="J60" s="1">
        <f>J58</f>
        <v>2500</v>
      </c>
      <c r="N60" s="8">
        <v>0.192</v>
      </c>
    </row>
    <row r="61" spans="7:14" s="1" customFormat="1">
      <c r="G61" s="1" t="s">
        <v>119</v>
      </c>
      <c r="I61" s="1">
        <f>-I60*L30</f>
        <v>571.19999999999948</v>
      </c>
      <c r="J61" s="1">
        <f>-L30*J60</f>
        <v>-850.00000000000011</v>
      </c>
      <c r="N61" s="60">
        <f>SUM(N58:N60)</f>
        <v>0.71199999999999997</v>
      </c>
    </row>
    <row r="62" spans="7:14" s="1" customFormat="1">
      <c r="G62" s="1" t="s">
        <v>120</v>
      </c>
      <c r="I62" s="1">
        <f>I58+I61</f>
        <v>12571.199999999999</v>
      </c>
      <c r="J62" s="1">
        <f>J58+J61</f>
        <v>1650</v>
      </c>
      <c r="K62" s="1">
        <f>I62-J62</f>
        <v>10921.199999999999</v>
      </c>
      <c r="N62" s="60">
        <f>1-N61</f>
        <v>0.28800000000000003</v>
      </c>
    </row>
    <row r="63" spans="7:14" s="1" customFormat="1"/>
    <row r="64" spans="7:14" s="1" customFormat="1"/>
    <row r="65" spans="1:36" s="1" customFormat="1"/>
    <row r="66" spans="1:36" s="1" customFormat="1"/>
    <row r="67" spans="1:36" s="1" customFormat="1"/>
    <row r="68" spans="1:36" s="1" customFormat="1"/>
    <row r="69" spans="1:36" s="1" customFormat="1"/>
    <row r="70" spans="1:36">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1:36">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3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sheetData>
  <mergeCells count="5">
    <mergeCell ref="B36:L36"/>
    <mergeCell ref="M8:Q8"/>
    <mergeCell ref="B27:L27"/>
    <mergeCell ref="B39:E39"/>
    <mergeCell ref="G39:K39"/>
  </mergeCell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dimension ref="B2:Q56"/>
  <sheetViews>
    <sheetView workbookViewId="0">
      <selection activeCell="E10" sqref="E10"/>
    </sheetView>
  </sheetViews>
  <sheetFormatPr defaultColWidth="9.1796875" defaultRowHeight="14.5"/>
  <cols>
    <col min="1" max="1" width="3.81640625" style="2" customWidth="1"/>
    <col min="2" max="2" width="9.1796875" style="2"/>
    <col min="3" max="6" width="12.26953125" style="2" customWidth="1"/>
    <col min="7" max="7" width="9.81640625" style="2" bestFit="1" customWidth="1"/>
    <col min="8" max="12" width="11.1796875" style="2" customWidth="1"/>
    <col min="13" max="16384" width="9.1796875" style="2"/>
  </cols>
  <sheetData>
    <row r="2" spans="2:17" ht="23.5">
      <c r="B2" s="44" t="s">
        <v>19</v>
      </c>
    </row>
    <row r="3" spans="2:17" ht="9" customHeight="1"/>
    <row r="4" spans="2:17" ht="19" thickBot="1">
      <c r="B4" s="6" t="s">
        <v>27</v>
      </c>
      <c r="H4" s="67" t="s">
        <v>0</v>
      </c>
      <c r="I4" s="67"/>
      <c r="J4" s="67"/>
      <c r="K4" s="67"/>
      <c r="L4" s="67"/>
    </row>
    <row r="5" spans="2:17" ht="15" thickBot="1">
      <c r="B5" s="6" t="s">
        <v>55</v>
      </c>
      <c r="H5" s="16" t="s">
        <v>1</v>
      </c>
      <c r="I5" s="17" t="s">
        <v>2</v>
      </c>
      <c r="J5" s="17" t="s">
        <v>3</v>
      </c>
      <c r="K5" s="17" t="s">
        <v>4</v>
      </c>
      <c r="L5" s="18" t="s">
        <v>5</v>
      </c>
    </row>
    <row r="6" spans="2:17">
      <c r="B6" s="6" t="s">
        <v>56</v>
      </c>
      <c r="H6" s="13">
        <v>1</v>
      </c>
      <c r="I6" s="14">
        <v>0.33329999999999999</v>
      </c>
      <c r="J6" s="14">
        <v>0.2</v>
      </c>
      <c r="K6" s="14">
        <v>0.1429</v>
      </c>
      <c r="L6" s="15">
        <v>0.1</v>
      </c>
      <c r="O6" s="2" t="s">
        <v>59</v>
      </c>
      <c r="P6" s="2">
        <v>2</v>
      </c>
      <c r="Q6" s="2">
        <v>1</v>
      </c>
    </row>
    <row r="7" spans="2:17">
      <c r="B7" s="6" t="s">
        <v>57</v>
      </c>
      <c r="H7" s="9">
        <v>2</v>
      </c>
      <c r="I7" s="8">
        <v>0.44450000000000001</v>
      </c>
      <c r="J7" s="8">
        <v>0.32</v>
      </c>
      <c r="K7" s="8">
        <v>0.24490000000000001</v>
      </c>
      <c r="L7" s="10">
        <v>0.18</v>
      </c>
      <c r="O7" s="2" t="s">
        <v>60</v>
      </c>
      <c r="P7" s="2">
        <v>3</v>
      </c>
      <c r="Q7" s="2">
        <v>2</v>
      </c>
    </row>
    <row r="8" spans="2:17">
      <c r="B8" s="6" t="s">
        <v>29</v>
      </c>
      <c r="H8" s="9">
        <v>3</v>
      </c>
      <c r="I8" s="8">
        <v>0.14810000000000001</v>
      </c>
      <c r="J8" s="8">
        <v>0.192</v>
      </c>
      <c r="K8" s="8">
        <v>0.1749</v>
      </c>
      <c r="L8" s="10">
        <v>0.14399999999999999</v>
      </c>
      <c r="O8" s="2" t="s">
        <v>61</v>
      </c>
      <c r="P8" s="2">
        <v>4</v>
      </c>
      <c r="Q8" s="2">
        <v>3</v>
      </c>
    </row>
    <row r="9" spans="2:17">
      <c r="B9" s="6"/>
      <c r="H9" s="9">
        <v>4</v>
      </c>
      <c r="I9" s="8">
        <v>7.4099999999999999E-2</v>
      </c>
      <c r="J9" s="8">
        <v>0.1152</v>
      </c>
      <c r="K9" s="8">
        <v>0.1249</v>
      </c>
      <c r="L9" s="10">
        <v>0.1152</v>
      </c>
      <c r="O9" s="2" t="s">
        <v>62</v>
      </c>
      <c r="P9" s="2">
        <v>5</v>
      </c>
      <c r="Q9" s="2">
        <v>4</v>
      </c>
    </row>
    <row r="10" spans="2:17">
      <c r="C10" s="2" t="s">
        <v>58</v>
      </c>
      <c r="E10" s="54" t="s">
        <v>60</v>
      </c>
      <c r="H10" s="9">
        <v>5</v>
      </c>
      <c r="I10" s="19"/>
      <c r="J10" s="8">
        <v>0.1152</v>
      </c>
      <c r="K10" s="8">
        <v>8.9300000000000004E-2</v>
      </c>
      <c r="L10" s="10">
        <v>9.2200000000000004E-2</v>
      </c>
      <c r="Q10" s="2">
        <v>5</v>
      </c>
    </row>
    <row r="11" spans="2:17">
      <c r="B11" s="6"/>
      <c r="C11" s="2" t="s">
        <v>63</v>
      </c>
      <c r="E11" s="55">
        <v>30000</v>
      </c>
      <c r="H11" s="9">
        <v>6</v>
      </c>
      <c r="I11" s="19"/>
      <c r="J11" s="8">
        <v>5.7599999999999998E-2</v>
      </c>
      <c r="K11" s="8">
        <v>8.9200000000000002E-2</v>
      </c>
      <c r="L11" s="10">
        <v>7.3700000000000002E-2</v>
      </c>
      <c r="Q11" s="2">
        <v>6</v>
      </c>
    </row>
    <row r="12" spans="2:17">
      <c r="C12" s="2" t="s">
        <v>64</v>
      </c>
      <c r="E12" s="54">
        <v>3</v>
      </c>
      <c r="H12" s="9">
        <v>7</v>
      </c>
      <c r="I12" s="19"/>
      <c r="J12" s="19"/>
      <c r="K12" s="8">
        <v>8.9300000000000004E-2</v>
      </c>
      <c r="L12" s="10">
        <v>6.5500000000000003E-2</v>
      </c>
      <c r="Q12" s="2">
        <v>7</v>
      </c>
    </row>
    <row r="13" spans="2:17" ht="15" thickBot="1">
      <c r="H13" s="9">
        <v>8</v>
      </c>
      <c r="I13" s="19"/>
      <c r="J13" s="19"/>
      <c r="K13" s="8">
        <v>4.4600000000000001E-2</v>
      </c>
      <c r="L13" s="10">
        <v>6.5500000000000003E-2</v>
      </c>
      <c r="Q13" s="2">
        <v>8</v>
      </c>
    </row>
    <row r="14" spans="2:17" ht="15" thickBot="1">
      <c r="C14" s="2" t="s">
        <v>65</v>
      </c>
      <c r="E14" s="45">
        <f>VLOOKUP(E12,H45:L56,VLOOKUP(E10,O6:P9,2,FALSE),FALSE)</f>
        <v>8640</v>
      </c>
      <c r="H14" s="9">
        <v>9</v>
      </c>
      <c r="I14" s="19"/>
      <c r="J14" s="19"/>
      <c r="K14" s="19"/>
      <c r="L14" s="10">
        <v>6.5600000000000006E-2</v>
      </c>
      <c r="Q14" s="2">
        <v>9</v>
      </c>
    </row>
    <row r="15" spans="2:17">
      <c r="H15" s="9">
        <v>10</v>
      </c>
      <c r="I15" s="19"/>
      <c r="J15" s="19"/>
      <c r="K15" s="19"/>
      <c r="L15" s="10">
        <v>6.5500000000000003E-2</v>
      </c>
      <c r="Q15" s="2">
        <v>10</v>
      </c>
    </row>
    <row r="16" spans="2:17" ht="15" thickBot="1">
      <c r="H16" s="11">
        <v>11</v>
      </c>
      <c r="I16" s="20"/>
      <c r="J16" s="20"/>
      <c r="K16" s="20"/>
      <c r="L16" s="12">
        <v>3.2800000000000003E-2</v>
      </c>
    </row>
    <row r="18" spans="5:12" ht="15" thickBot="1"/>
    <row r="19" spans="5:12" ht="15" thickBot="1">
      <c r="H19" s="16" t="s">
        <v>1</v>
      </c>
      <c r="I19" s="17" t="s">
        <v>2</v>
      </c>
      <c r="J19" s="17" t="s">
        <v>3</v>
      </c>
      <c r="K19" s="17" t="s">
        <v>4</v>
      </c>
      <c r="L19" s="18" t="s">
        <v>5</v>
      </c>
    </row>
    <row r="20" spans="5:12">
      <c r="E20" s="2" t="s">
        <v>124</v>
      </c>
      <c r="G20" s="62"/>
      <c r="H20" s="13">
        <v>1</v>
      </c>
      <c r="I20" s="63">
        <f>$E$11*I6</f>
        <v>9999</v>
      </c>
      <c r="J20" s="63">
        <f t="shared" ref="J20:L25" si="0">$E$11*J6</f>
        <v>6000</v>
      </c>
      <c r="K20" s="63">
        <f t="shared" si="0"/>
        <v>4287</v>
      </c>
      <c r="L20" s="63">
        <f t="shared" si="0"/>
        <v>3000</v>
      </c>
    </row>
    <row r="21" spans="5:12">
      <c r="H21" s="9">
        <v>2</v>
      </c>
      <c r="I21" s="63">
        <f t="shared" ref="I21:I23" si="1">$E$11*I7</f>
        <v>13335</v>
      </c>
      <c r="J21" s="63">
        <f t="shared" si="0"/>
        <v>9600</v>
      </c>
      <c r="K21" s="63">
        <f t="shared" si="0"/>
        <v>7347</v>
      </c>
      <c r="L21" s="63">
        <f t="shared" si="0"/>
        <v>5400</v>
      </c>
    </row>
    <row r="22" spans="5:12">
      <c r="H22" s="9">
        <v>3</v>
      </c>
      <c r="I22" s="63">
        <f t="shared" si="1"/>
        <v>4443</v>
      </c>
      <c r="J22" s="63">
        <f t="shared" si="0"/>
        <v>5760</v>
      </c>
      <c r="K22" s="63">
        <f t="shared" si="0"/>
        <v>5247</v>
      </c>
      <c r="L22" s="63">
        <f t="shared" si="0"/>
        <v>4320</v>
      </c>
    </row>
    <row r="23" spans="5:12">
      <c r="H23" s="9">
        <v>4</v>
      </c>
      <c r="I23" s="63">
        <f t="shared" si="1"/>
        <v>2223</v>
      </c>
      <c r="J23" s="63">
        <f t="shared" si="0"/>
        <v>3456</v>
      </c>
      <c r="K23" s="63">
        <f t="shared" si="0"/>
        <v>3747</v>
      </c>
      <c r="L23" s="63">
        <f t="shared" si="0"/>
        <v>3456</v>
      </c>
    </row>
    <row r="24" spans="5:12">
      <c r="H24" s="9">
        <v>5</v>
      </c>
      <c r="I24" s="19"/>
      <c r="J24" s="63">
        <f t="shared" si="0"/>
        <v>3456</v>
      </c>
      <c r="K24" s="63">
        <f t="shared" si="0"/>
        <v>2679</v>
      </c>
      <c r="L24" s="63">
        <f t="shared" si="0"/>
        <v>2766</v>
      </c>
    </row>
    <row r="25" spans="5:12">
      <c r="H25" s="9">
        <v>6</v>
      </c>
      <c r="I25" s="19"/>
      <c r="J25" s="63">
        <f t="shared" si="0"/>
        <v>1728</v>
      </c>
      <c r="K25" s="63">
        <f t="shared" si="0"/>
        <v>2676</v>
      </c>
      <c r="L25" s="63">
        <f t="shared" si="0"/>
        <v>2211</v>
      </c>
    </row>
    <row r="26" spans="5:12">
      <c r="H26" s="9">
        <v>7</v>
      </c>
      <c r="I26" s="19"/>
      <c r="J26" s="19"/>
      <c r="K26" s="63">
        <f t="shared" ref="K26:L27" si="2">$E$11*K12</f>
        <v>2679</v>
      </c>
      <c r="L26" s="63">
        <f t="shared" si="2"/>
        <v>1965</v>
      </c>
    </row>
    <row r="27" spans="5:12">
      <c r="H27" s="9">
        <v>8</v>
      </c>
      <c r="I27" s="19"/>
      <c r="J27" s="19"/>
      <c r="K27" s="63">
        <f t="shared" si="2"/>
        <v>1338</v>
      </c>
      <c r="L27" s="63">
        <f t="shared" si="2"/>
        <v>1965</v>
      </c>
    </row>
    <row r="28" spans="5:12">
      <c r="H28" s="9">
        <v>9</v>
      </c>
      <c r="I28" s="19"/>
      <c r="J28" s="19"/>
      <c r="K28" s="19"/>
      <c r="L28" s="63">
        <f t="shared" ref="L28:L30" si="3">$E$11*L14</f>
        <v>1968.0000000000002</v>
      </c>
    </row>
    <row r="29" spans="5:12">
      <c r="H29" s="9">
        <v>10</v>
      </c>
      <c r="I29" s="19"/>
      <c r="J29" s="19"/>
      <c r="K29" s="19"/>
      <c r="L29" s="63">
        <f t="shared" si="3"/>
        <v>1965</v>
      </c>
    </row>
    <row r="30" spans="5:12" ht="15" thickBot="1">
      <c r="H30" s="11">
        <v>11</v>
      </c>
      <c r="I30" s="20"/>
      <c r="J30" s="20"/>
      <c r="K30" s="20"/>
      <c r="L30" s="63">
        <f t="shared" si="3"/>
        <v>984.00000000000011</v>
      </c>
    </row>
    <row r="31" spans="5:12" ht="15" thickBot="1"/>
    <row r="32" spans="5:12" ht="15" thickBot="1">
      <c r="H32" s="16" t="s">
        <v>1</v>
      </c>
      <c r="I32" s="17" t="s">
        <v>2</v>
      </c>
      <c r="J32" s="17" t="s">
        <v>3</v>
      </c>
      <c r="K32" s="17" t="s">
        <v>4</v>
      </c>
      <c r="L32" s="18" t="s">
        <v>5</v>
      </c>
    </row>
    <row r="33" spans="5:12">
      <c r="E33" s="2" t="s">
        <v>125</v>
      </c>
      <c r="H33" s="13">
        <v>1</v>
      </c>
      <c r="I33" s="63">
        <f>I20</f>
        <v>9999</v>
      </c>
      <c r="J33" s="63">
        <f t="shared" ref="J33:L33" si="4">J20</f>
        <v>6000</v>
      </c>
      <c r="K33" s="63">
        <f t="shared" si="4"/>
        <v>4287</v>
      </c>
      <c r="L33" s="63">
        <f t="shared" si="4"/>
        <v>3000</v>
      </c>
    </row>
    <row r="34" spans="5:12">
      <c r="H34" s="9">
        <v>2</v>
      </c>
      <c r="I34" s="63">
        <f>I33+I21</f>
        <v>23334</v>
      </c>
      <c r="J34" s="63">
        <f t="shared" ref="J34:L43" si="5">J33+J21</f>
        <v>15600</v>
      </c>
      <c r="K34" s="63">
        <f t="shared" si="5"/>
        <v>11634</v>
      </c>
      <c r="L34" s="63">
        <f t="shared" si="5"/>
        <v>8400</v>
      </c>
    </row>
    <row r="35" spans="5:12">
      <c r="H35" s="9">
        <v>3</v>
      </c>
      <c r="I35" s="63">
        <f t="shared" ref="I35:I36" si="6">I34+I22</f>
        <v>27777</v>
      </c>
      <c r="J35" s="63">
        <f t="shared" si="5"/>
        <v>21360</v>
      </c>
      <c r="K35" s="63">
        <f t="shared" si="5"/>
        <v>16881</v>
      </c>
      <c r="L35" s="63">
        <f t="shared" si="5"/>
        <v>12720</v>
      </c>
    </row>
    <row r="36" spans="5:12">
      <c r="H36" s="9">
        <v>4</v>
      </c>
      <c r="I36" s="63">
        <f t="shared" si="6"/>
        <v>30000</v>
      </c>
      <c r="J36" s="63">
        <f t="shared" si="5"/>
        <v>24816</v>
      </c>
      <c r="K36" s="63">
        <f t="shared" si="5"/>
        <v>20628</v>
      </c>
      <c r="L36" s="63">
        <f t="shared" si="5"/>
        <v>16176</v>
      </c>
    </row>
    <row r="37" spans="5:12">
      <c r="H37" s="9">
        <v>5</v>
      </c>
      <c r="I37" s="19"/>
      <c r="J37" s="63">
        <f t="shared" si="5"/>
        <v>28272</v>
      </c>
      <c r="K37" s="63">
        <f t="shared" si="5"/>
        <v>23307</v>
      </c>
      <c r="L37" s="63">
        <f t="shared" si="5"/>
        <v>18942</v>
      </c>
    </row>
    <row r="38" spans="5:12">
      <c r="H38" s="9">
        <v>6</v>
      </c>
      <c r="I38" s="19"/>
      <c r="J38" s="63">
        <f t="shared" si="5"/>
        <v>30000</v>
      </c>
      <c r="K38" s="63">
        <f t="shared" si="5"/>
        <v>25983</v>
      </c>
      <c r="L38" s="63">
        <f t="shared" si="5"/>
        <v>21153</v>
      </c>
    </row>
    <row r="39" spans="5:12">
      <c r="H39" s="9">
        <v>7</v>
      </c>
      <c r="I39" s="19"/>
      <c r="J39" s="19"/>
      <c r="K39" s="63">
        <f t="shared" si="5"/>
        <v>28662</v>
      </c>
      <c r="L39" s="63">
        <f t="shared" si="5"/>
        <v>23118</v>
      </c>
    </row>
    <row r="40" spans="5:12">
      <c r="H40" s="9">
        <v>8</v>
      </c>
      <c r="I40" s="19"/>
      <c r="J40" s="19"/>
      <c r="K40" s="63">
        <f t="shared" si="5"/>
        <v>30000</v>
      </c>
      <c r="L40" s="63">
        <f t="shared" si="5"/>
        <v>25083</v>
      </c>
    </row>
    <row r="41" spans="5:12">
      <c r="H41" s="9">
        <v>9</v>
      </c>
      <c r="I41" s="19"/>
      <c r="J41" s="19"/>
      <c r="K41" s="19"/>
      <c r="L41" s="63">
        <f t="shared" si="5"/>
        <v>27051</v>
      </c>
    </row>
    <row r="42" spans="5:12">
      <c r="H42" s="9">
        <v>10</v>
      </c>
      <c r="I42" s="19"/>
      <c r="J42" s="19"/>
      <c r="K42" s="19"/>
      <c r="L42" s="63">
        <f t="shared" si="5"/>
        <v>29016</v>
      </c>
    </row>
    <row r="43" spans="5:12" ht="15" thickBot="1">
      <c r="H43" s="11">
        <v>11</v>
      </c>
      <c r="I43" s="20"/>
      <c r="J43" s="20"/>
      <c r="K43" s="20"/>
      <c r="L43" s="63">
        <f t="shared" si="5"/>
        <v>30000</v>
      </c>
    </row>
    <row r="44" spans="5:12" ht="15" thickBot="1"/>
    <row r="45" spans="5:12" ht="15" thickBot="1">
      <c r="H45" s="16" t="s">
        <v>1</v>
      </c>
      <c r="I45" s="17" t="s">
        <v>2</v>
      </c>
      <c r="J45" s="17" t="s">
        <v>3</v>
      </c>
      <c r="K45" s="17" t="s">
        <v>4</v>
      </c>
      <c r="L45" s="18" t="s">
        <v>5</v>
      </c>
    </row>
    <row r="46" spans="5:12">
      <c r="E46" s="2" t="s">
        <v>126</v>
      </c>
      <c r="H46" s="13">
        <v>1</v>
      </c>
      <c r="I46" s="63">
        <f>$E$11-I33</f>
        <v>20001</v>
      </c>
      <c r="J46" s="63">
        <f t="shared" ref="J46:L51" si="7">$E$11-J33</f>
        <v>24000</v>
      </c>
      <c r="K46" s="63">
        <f t="shared" si="7"/>
        <v>25713</v>
      </c>
      <c r="L46" s="63">
        <f t="shared" si="7"/>
        <v>27000</v>
      </c>
    </row>
    <row r="47" spans="5:12">
      <c r="H47" s="9">
        <v>2</v>
      </c>
      <c r="I47" s="63">
        <f t="shared" ref="I47:I49" si="8">$E$11-I34</f>
        <v>6666</v>
      </c>
      <c r="J47" s="63">
        <f t="shared" si="7"/>
        <v>14400</v>
      </c>
      <c r="K47" s="63">
        <f t="shared" si="7"/>
        <v>18366</v>
      </c>
      <c r="L47" s="63">
        <f t="shared" si="7"/>
        <v>21600</v>
      </c>
    </row>
    <row r="48" spans="5:12">
      <c r="H48" s="9">
        <v>3</v>
      </c>
      <c r="I48" s="63">
        <f t="shared" si="8"/>
        <v>2223</v>
      </c>
      <c r="J48" s="63">
        <f t="shared" si="7"/>
        <v>8640</v>
      </c>
      <c r="K48" s="63">
        <f t="shared" si="7"/>
        <v>13119</v>
      </c>
      <c r="L48" s="63">
        <f t="shared" si="7"/>
        <v>17280</v>
      </c>
    </row>
    <row r="49" spans="8:12">
      <c r="H49" s="9">
        <v>4</v>
      </c>
      <c r="I49" s="63">
        <f t="shared" si="8"/>
        <v>0</v>
      </c>
      <c r="J49" s="63">
        <f t="shared" si="7"/>
        <v>5184</v>
      </c>
      <c r="K49" s="63">
        <f t="shared" si="7"/>
        <v>9372</v>
      </c>
      <c r="L49" s="63">
        <f t="shared" si="7"/>
        <v>13824</v>
      </c>
    </row>
    <row r="50" spans="8:12">
      <c r="H50" s="9">
        <v>5</v>
      </c>
      <c r="I50" s="19">
        <v>0</v>
      </c>
      <c r="J50" s="63">
        <f t="shared" si="7"/>
        <v>1728</v>
      </c>
      <c r="K50" s="63">
        <f t="shared" si="7"/>
        <v>6693</v>
      </c>
      <c r="L50" s="63">
        <f t="shared" si="7"/>
        <v>11058</v>
      </c>
    </row>
    <row r="51" spans="8:12">
      <c r="H51" s="9">
        <v>6</v>
      </c>
      <c r="I51" s="19">
        <v>0</v>
      </c>
      <c r="J51" s="63">
        <f t="shared" si="7"/>
        <v>0</v>
      </c>
      <c r="K51" s="63">
        <f t="shared" si="7"/>
        <v>4017</v>
      </c>
      <c r="L51" s="63">
        <f t="shared" si="7"/>
        <v>8847</v>
      </c>
    </row>
    <row r="52" spans="8:12">
      <c r="H52" s="9">
        <v>7</v>
      </c>
      <c r="I52" s="19">
        <v>0</v>
      </c>
      <c r="J52" s="19">
        <v>0</v>
      </c>
      <c r="K52" s="63">
        <f t="shared" ref="K52:L53" si="9">$E$11-K39</f>
        <v>1338</v>
      </c>
      <c r="L52" s="63">
        <f t="shared" si="9"/>
        <v>6882</v>
      </c>
    </row>
    <row r="53" spans="8:12">
      <c r="H53" s="9">
        <v>8</v>
      </c>
      <c r="I53" s="19">
        <v>0</v>
      </c>
      <c r="J53" s="19">
        <v>0</v>
      </c>
      <c r="K53" s="63">
        <f t="shared" si="9"/>
        <v>0</v>
      </c>
      <c r="L53" s="63">
        <f t="shared" si="9"/>
        <v>4917</v>
      </c>
    </row>
    <row r="54" spans="8:12">
      <c r="H54" s="9">
        <v>9</v>
      </c>
      <c r="I54" s="19">
        <v>0</v>
      </c>
      <c r="J54" s="19">
        <v>0</v>
      </c>
      <c r="K54" s="19">
        <v>0</v>
      </c>
      <c r="L54" s="63">
        <f t="shared" ref="L54:L56" si="10">$E$11-L41</f>
        <v>2949</v>
      </c>
    </row>
    <row r="55" spans="8:12">
      <c r="H55" s="9">
        <v>10</v>
      </c>
      <c r="I55" s="19">
        <v>0</v>
      </c>
      <c r="J55" s="19">
        <v>0</v>
      </c>
      <c r="K55" s="19">
        <v>0</v>
      </c>
      <c r="L55" s="63">
        <f t="shared" si="10"/>
        <v>984</v>
      </c>
    </row>
    <row r="56" spans="8:12" ht="15" thickBot="1">
      <c r="H56" s="11">
        <v>11</v>
      </c>
      <c r="I56" s="19">
        <v>0</v>
      </c>
      <c r="J56" s="19">
        <v>0</v>
      </c>
      <c r="K56" s="19">
        <v>0</v>
      </c>
      <c r="L56" s="63">
        <f t="shared" si="10"/>
        <v>0</v>
      </c>
    </row>
  </sheetData>
  <mergeCells count="1">
    <mergeCell ref="H4:L4"/>
  </mergeCells>
  <dataValidations count="2">
    <dataValidation type="list" allowBlank="1" showInputMessage="1" showErrorMessage="1" sqref="E10">
      <formula1>$O$6:$O$9</formula1>
    </dataValidation>
    <dataValidation type="list" allowBlank="1" showInputMessage="1" showErrorMessage="1" sqref="E12">
      <formula1>$Q$6:$Q$15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I20"/>
  <sheetViews>
    <sheetView topLeftCell="A5" workbookViewId="0">
      <selection activeCell="D8" sqref="D8"/>
    </sheetView>
  </sheetViews>
  <sheetFormatPr defaultRowHeight="14.5"/>
  <cols>
    <col min="1" max="1" width="5.81640625" customWidth="1"/>
    <col min="2" max="2" width="4.81640625" customWidth="1"/>
    <col min="3" max="3" width="19.453125" customWidth="1"/>
    <col min="4" max="4" width="11.453125" customWidth="1"/>
    <col min="5" max="5" width="17.26953125" customWidth="1"/>
    <col min="6" max="6" width="12.54296875" customWidth="1"/>
    <col min="7" max="7" width="9.7265625" bestFit="1" customWidth="1"/>
  </cols>
  <sheetData>
    <row r="1" spans="1:9" ht="12.75" customHeight="1"/>
    <row r="2" spans="1:9" s="24" customFormat="1" ht="23.5">
      <c r="A2" s="34"/>
      <c r="B2" s="35" t="s">
        <v>25</v>
      </c>
    </row>
    <row r="3" spans="1:9" s="24" customFormat="1" ht="8.25" customHeight="1">
      <c r="A3" s="34"/>
    </row>
    <row r="4" spans="1:9" s="24" customFormat="1" ht="115.5" customHeight="1">
      <c r="A4" s="34"/>
      <c r="C4" s="69" t="s">
        <v>53</v>
      </c>
      <c r="D4" s="69"/>
      <c r="E4" s="69"/>
      <c r="F4" s="69"/>
      <c r="G4" s="69"/>
      <c r="H4" s="69"/>
      <c r="I4" s="42"/>
    </row>
    <row r="5" spans="1:9" s="24" customFormat="1" ht="9.75" customHeight="1" thickBot="1">
      <c r="A5" s="34"/>
    </row>
    <row r="6" spans="1:9" s="24" customFormat="1" ht="29.5" thickBot="1">
      <c r="A6" s="34"/>
      <c r="C6" s="38" t="s">
        <v>17</v>
      </c>
      <c r="D6" s="39" t="s">
        <v>18</v>
      </c>
    </row>
    <row r="7" spans="1:9" s="24" customFormat="1">
      <c r="A7" s="34"/>
      <c r="C7" s="40">
        <v>0</v>
      </c>
      <c r="D7" s="41">
        <v>-5000</v>
      </c>
      <c r="F7" s="24">
        <f>D7</f>
        <v>-5000</v>
      </c>
    </row>
    <row r="8" spans="1:9" s="24" customFormat="1">
      <c r="A8" s="34"/>
      <c r="C8" s="25">
        <v>1</v>
      </c>
      <c r="D8" s="29">
        <v>1000</v>
      </c>
      <c r="F8" s="62">
        <f>PV($D$18,C8,0,-D8)</f>
        <v>892.85714285714278</v>
      </c>
      <c r="G8" s="24">
        <f>F7+F8</f>
        <v>-4107.1428571428569</v>
      </c>
      <c r="H8" s="24" t="str">
        <f>IF(G8&lt;0,"",C8)</f>
        <v/>
      </c>
    </row>
    <row r="9" spans="1:9" s="24" customFormat="1">
      <c r="A9" s="34"/>
      <c r="C9" s="25">
        <v>2</v>
      </c>
      <c r="D9" s="29">
        <v>1500</v>
      </c>
      <c r="F9" s="62">
        <f t="shared" ref="F9:F16" si="0">PV($D$18,C9,0,-D9)</f>
        <v>1195.7908163265304</v>
      </c>
      <c r="G9" s="24">
        <f>G8+F9</f>
        <v>-2911.3520408163267</v>
      </c>
      <c r="H9" s="24" t="str">
        <f t="shared" ref="H9:H16" si="1">IF(G9&lt;0,"",C9)</f>
        <v/>
      </c>
    </row>
    <row r="10" spans="1:9" s="24" customFormat="1">
      <c r="A10" s="34"/>
      <c r="C10" s="25">
        <v>3</v>
      </c>
      <c r="D10" s="29">
        <v>3000</v>
      </c>
      <c r="F10" s="62">
        <f t="shared" si="0"/>
        <v>2135.3407434402325</v>
      </c>
      <c r="G10" s="24">
        <f t="shared" ref="G10:G16" si="2">G9+F10</f>
        <v>-776.01129737609426</v>
      </c>
      <c r="H10" s="24" t="str">
        <f t="shared" si="1"/>
        <v/>
      </c>
    </row>
    <row r="11" spans="1:9" s="24" customFormat="1">
      <c r="A11" s="34"/>
      <c r="C11" s="25">
        <v>4</v>
      </c>
      <c r="D11" s="29">
        <v>3500</v>
      </c>
      <c r="F11" s="62">
        <f t="shared" si="0"/>
        <v>2224.3132744169093</v>
      </c>
      <c r="G11" s="24">
        <f t="shared" si="2"/>
        <v>1448.301977040815</v>
      </c>
      <c r="H11" s="24">
        <f t="shared" si="1"/>
        <v>4</v>
      </c>
    </row>
    <row r="12" spans="1:9" s="24" customFormat="1">
      <c r="A12" s="34"/>
      <c r="C12" s="25">
        <v>5</v>
      </c>
      <c r="D12" s="29">
        <v>3000</v>
      </c>
      <c r="F12" s="62">
        <f t="shared" si="0"/>
        <v>1702.2805671557976</v>
      </c>
      <c r="G12" s="24">
        <f t="shared" si="2"/>
        <v>3150.5825441966126</v>
      </c>
      <c r="H12" s="24">
        <f t="shared" si="1"/>
        <v>5</v>
      </c>
    </row>
    <row r="13" spans="1:9" s="24" customFormat="1">
      <c r="A13" s="34"/>
      <c r="C13" s="36">
        <v>7</v>
      </c>
      <c r="D13" s="37">
        <v>3000</v>
      </c>
      <c r="F13" s="62">
        <f t="shared" si="0"/>
        <v>1357.0476460106804</v>
      </c>
      <c r="G13" s="24">
        <f t="shared" si="2"/>
        <v>4507.6301902072928</v>
      </c>
      <c r="H13" s="24">
        <f t="shared" si="1"/>
        <v>7</v>
      </c>
    </row>
    <row r="14" spans="1:9" s="24" customFormat="1">
      <c r="A14" s="34"/>
      <c r="C14" s="36">
        <v>8</v>
      </c>
      <c r="D14" s="37">
        <v>0</v>
      </c>
      <c r="F14" s="62">
        <f t="shared" si="0"/>
        <v>0</v>
      </c>
      <c r="G14" s="24">
        <f t="shared" si="2"/>
        <v>4507.6301902072928</v>
      </c>
      <c r="H14" s="24">
        <f t="shared" si="1"/>
        <v>8</v>
      </c>
    </row>
    <row r="15" spans="1:9" s="24" customFormat="1">
      <c r="A15" s="34"/>
      <c r="C15" s="36">
        <v>9</v>
      </c>
      <c r="D15" s="37">
        <v>0</v>
      </c>
      <c r="F15" s="62">
        <f t="shared" si="0"/>
        <v>0</v>
      </c>
      <c r="G15" s="24">
        <f t="shared" si="2"/>
        <v>4507.6301902072928</v>
      </c>
      <c r="H15" s="24">
        <f t="shared" si="1"/>
        <v>9</v>
      </c>
    </row>
    <row r="16" spans="1:9" s="24" customFormat="1" ht="15" thickBot="1">
      <c r="A16" s="34"/>
      <c r="C16" s="26">
        <v>10</v>
      </c>
      <c r="D16" s="30">
        <v>0</v>
      </c>
      <c r="F16" s="62">
        <f t="shared" si="0"/>
        <v>0</v>
      </c>
      <c r="G16" s="24">
        <f t="shared" si="2"/>
        <v>4507.6301902072928</v>
      </c>
      <c r="H16" s="24">
        <f t="shared" si="1"/>
        <v>10</v>
      </c>
    </row>
    <row r="17" spans="1:5" s="24" customFormat="1">
      <c r="A17" s="34"/>
    </row>
    <row r="18" spans="1:5" s="24" customFormat="1">
      <c r="A18" s="34"/>
      <c r="C18" s="24" t="s">
        <v>54</v>
      </c>
      <c r="D18" s="22">
        <v>0.12</v>
      </c>
    </row>
    <row r="19" spans="1:5" ht="15" thickBot="1"/>
    <row r="20" spans="1:5" ht="15" thickBot="1">
      <c r="C20" s="43" t="s">
        <v>26</v>
      </c>
      <c r="D20" s="70" t="str">
        <f>IF(G16&lt;0,"Never",MIN(H8:H16)&amp;" Years")</f>
        <v>4 Years</v>
      </c>
      <c r="E20" s="71"/>
    </row>
  </sheetData>
  <mergeCells count="2">
    <mergeCell ref="C4:H4"/>
    <mergeCell ref="D20:E2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2:H52"/>
  <sheetViews>
    <sheetView topLeftCell="A4" zoomScale="115" zoomScaleNormal="115" workbookViewId="0">
      <selection activeCell="M60" sqref="M60"/>
    </sheetView>
  </sheetViews>
  <sheetFormatPr defaultColWidth="9.1796875" defaultRowHeight="14.5"/>
  <cols>
    <col min="1" max="1" width="5.7265625" style="34" customWidth="1"/>
    <col min="2" max="2" width="14.26953125" style="24" customWidth="1"/>
    <col min="3" max="4" width="11.453125" style="24" customWidth="1"/>
    <col min="5" max="5" width="9.453125" style="24" customWidth="1"/>
    <col min="6" max="16384" width="9.1796875" style="24"/>
  </cols>
  <sheetData>
    <row r="2" spans="1:8" ht="23.5">
      <c r="B2" s="35" t="s">
        <v>28</v>
      </c>
    </row>
    <row r="3" spans="1:8" ht="15" thickBot="1"/>
    <row r="4" spans="1:8" ht="29.5" thickBot="1">
      <c r="C4" s="27" t="s">
        <v>17</v>
      </c>
      <c r="D4" s="28" t="s">
        <v>18</v>
      </c>
      <c r="F4" s="31" t="s">
        <v>20</v>
      </c>
    </row>
    <row r="5" spans="1:8" ht="15" thickBot="1">
      <c r="C5" s="25">
        <v>0</v>
      </c>
      <c r="D5" s="29">
        <v>-12500</v>
      </c>
      <c r="F5" s="32">
        <v>0.09</v>
      </c>
    </row>
    <row r="6" spans="1:8">
      <c r="C6" s="25">
        <v>1</v>
      </c>
      <c r="D6" s="29">
        <v>2500</v>
      </c>
    </row>
    <row r="7" spans="1:8">
      <c r="C7" s="25">
        <v>2</v>
      </c>
      <c r="D7" s="29">
        <v>3000</v>
      </c>
    </row>
    <row r="8" spans="1:8">
      <c r="C8" s="25">
        <v>3</v>
      </c>
      <c r="D8" s="29">
        <v>3500</v>
      </c>
    </row>
    <row r="9" spans="1:8">
      <c r="C9" s="25">
        <v>4</v>
      </c>
      <c r="D9" s="29">
        <v>4000</v>
      </c>
      <c r="H9" s="21"/>
    </row>
    <row r="10" spans="1:8">
      <c r="C10" s="25">
        <v>5</v>
      </c>
      <c r="D10" s="29">
        <v>3800</v>
      </c>
    </row>
    <row r="11" spans="1:8" ht="15" thickBot="1">
      <c r="C11" s="26">
        <v>6</v>
      </c>
      <c r="D11" s="30">
        <v>3500</v>
      </c>
    </row>
    <row r="13" spans="1:8">
      <c r="A13" s="34" t="s">
        <v>22</v>
      </c>
      <c r="B13" s="24" t="s">
        <v>66</v>
      </c>
    </row>
    <row r="14" spans="1:8">
      <c r="B14" s="24" t="s">
        <v>86</v>
      </c>
    </row>
    <row r="15" spans="1:8" ht="15" thickBot="1"/>
    <row r="16" spans="1:8" ht="15" thickBot="1">
      <c r="B16" s="33" t="s">
        <v>21</v>
      </c>
      <c r="C16" s="72">
        <f>NPV(F5,D6:D11)+D5</f>
        <v>2411.6358979365323</v>
      </c>
      <c r="D16" s="73"/>
    </row>
    <row r="19" spans="1:4">
      <c r="A19" s="24" t="s">
        <v>23</v>
      </c>
      <c r="B19" s="24" t="s">
        <v>31</v>
      </c>
    </row>
    <row r="20" spans="1:4">
      <c r="B20" s="24" t="s">
        <v>87</v>
      </c>
    </row>
    <row r="21" spans="1:4" ht="11.25" customHeight="1" thickBot="1"/>
    <row r="22" spans="1:4" ht="15" thickBot="1">
      <c r="B22" s="33" t="s">
        <v>21</v>
      </c>
      <c r="C22" s="74">
        <f>IRR(D5:D11)</f>
        <v>0.14814382649164515</v>
      </c>
      <c r="D22" s="75"/>
    </row>
    <row r="26" spans="1:4">
      <c r="A26" s="24" t="s">
        <v>24</v>
      </c>
    </row>
    <row r="27" spans="1:4">
      <c r="A27" s="24"/>
    </row>
    <row r="28" spans="1:4">
      <c r="A28" s="24"/>
    </row>
    <row r="30" spans="1:4" ht="9.75" customHeight="1"/>
    <row r="31" spans="1:4" ht="9.75" customHeight="1"/>
    <row r="32" spans="1:4" ht="9.75" customHeight="1"/>
    <row r="33" spans="3:5">
      <c r="C33" s="56"/>
      <c r="D33" s="56"/>
      <c r="E33" s="56"/>
    </row>
    <row r="34" spans="3:5">
      <c r="C34" s="56"/>
      <c r="D34" s="56"/>
      <c r="E34" s="56"/>
    </row>
    <row r="35" spans="3:5">
      <c r="C35" s="56"/>
      <c r="D35" s="56"/>
      <c r="E35" s="56"/>
    </row>
    <row r="36" spans="3:5" ht="17.5">
      <c r="C36" s="56"/>
      <c r="D36" s="64" t="s">
        <v>127</v>
      </c>
      <c r="E36" s="64" t="s">
        <v>128</v>
      </c>
    </row>
    <row r="37" spans="3:5">
      <c r="C37" s="56"/>
      <c r="D37" s="65">
        <f>PMT(F5,6,-C16,)</f>
        <v>537.60135174730863</v>
      </c>
      <c r="E37" s="56">
        <f>C16</f>
        <v>2411.6358979365323</v>
      </c>
    </row>
    <row r="38" spans="3:5">
      <c r="C38" s="57">
        <v>0</v>
      </c>
      <c r="D38" s="56">
        <f t="dataTable" ref="D38:E52" dt2D="0" dtr="0" r1="F5"/>
        <v>1300</v>
      </c>
      <c r="E38" s="56">
        <v>7800</v>
      </c>
    </row>
    <row r="39" spans="3:5">
      <c r="C39" s="57">
        <v>0.02</v>
      </c>
      <c r="D39" s="56">
        <v>1138.5793470194558</v>
      </c>
      <c r="E39" s="56">
        <v>6377.6735258968838</v>
      </c>
    </row>
    <row r="40" spans="3:5">
      <c r="C40" s="57">
        <v>0.04</v>
      </c>
      <c r="D40" s="56">
        <v>972.43601176630045</v>
      </c>
      <c r="E40" s="56">
        <v>5097.6426581075575</v>
      </c>
    </row>
    <row r="41" spans="3:5">
      <c r="C41" s="57">
        <v>0.06</v>
      </c>
      <c r="D41" s="56">
        <v>801.75004061164861</v>
      </c>
      <c r="E41" s="56">
        <v>3942.4649780754735</v>
      </c>
    </row>
    <row r="42" spans="3:5">
      <c r="C42" s="57">
        <v>0.08</v>
      </c>
      <c r="D42" s="56">
        <v>626.70317721686138</v>
      </c>
      <c r="E42" s="56">
        <v>2897.1733732956964</v>
      </c>
    </row>
    <row r="43" spans="3:5">
      <c r="C43" s="57">
        <v>0.1</v>
      </c>
      <c r="D43" s="56">
        <v>447.47758116338059</v>
      </c>
      <c r="E43" s="56">
        <v>1948.881523131291</v>
      </c>
    </row>
    <row r="44" spans="3:5">
      <c r="C44" s="57">
        <v>0.12</v>
      </c>
      <c r="D44" s="56">
        <v>264.25468486121366</v>
      </c>
      <c r="E44" s="56">
        <v>1086.4586466134788</v>
      </c>
    </row>
    <row r="45" spans="3:5">
      <c r="C45" s="57">
        <v>0.14000000000000001</v>
      </c>
      <c r="D45" s="56">
        <v>77.214186587876242</v>
      </c>
      <c r="E45" s="56">
        <v>300.26029920052679</v>
      </c>
    </row>
    <row r="46" spans="3:5">
      <c r="C46" s="57">
        <v>0.18</v>
      </c>
      <c r="D46" s="56">
        <v>-307.61461905392866</v>
      </c>
      <c r="E46" s="56">
        <v>-1075.9136791334367</v>
      </c>
    </row>
    <row r="47" spans="3:5">
      <c r="C47" s="57">
        <v>0.2</v>
      </c>
      <c r="D47" s="56">
        <v>-505.05945667235972</v>
      </c>
      <c r="E47" s="56">
        <v>-1679.5803326474615</v>
      </c>
    </row>
    <row r="48" spans="3:5">
      <c r="C48" s="57">
        <v>0.22</v>
      </c>
      <c r="D48" s="56">
        <v>-705.63610955872355</v>
      </c>
      <c r="E48" s="56">
        <v>-2234.6915820288159</v>
      </c>
    </row>
    <row r="49" spans="3:5">
      <c r="C49" s="57">
        <v>0.24</v>
      </c>
      <c r="D49" s="56">
        <v>-909.18428179065393</v>
      </c>
      <c r="E49" s="56">
        <v>-2746.1650325256524</v>
      </c>
    </row>
    <row r="50" spans="3:5">
      <c r="C50" s="57">
        <v>0.26</v>
      </c>
      <c r="D50" s="56">
        <v>-1115.5489379724804</v>
      </c>
      <c r="E50" s="56">
        <v>-3218.3328289075744</v>
      </c>
    </row>
    <row r="51" spans="3:5">
      <c r="C51" s="57">
        <v>0.28000000000000003</v>
      </c>
      <c r="D51" s="56">
        <v>-1324.5805488523649</v>
      </c>
      <c r="E51" s="56">
        <v>-3655.0207179971039</v>
      </c>
    </row>
    <row r="52" spans="3:5">
      <c r="C52" s="57">
        <v>0.3</v>
      </c>
      <c r="D52" s="56">
        <v>-1536.1352630873396</v>
      </c>
      <c r="E52" s="56">
        <v>-4059.6152654890629</v>
      </c>
    </row>
  </sheetData>
  <mergeCells count="2">
    <mergeCell ref="C16:D16"/>
    <mergeCell ref="C22:D2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dimension ref="B2:L22"/>
  <sheetViews>
    <sheetView workbookViewId="0">
      <selection activeCell="B14" sqref="B14:J14"/>
    </sheetView>
  </sheetViews>
  <sheetFormatPr defaultColWidth="8.7265625" defaultRowHeight="14.5"/>
  <cols>
    <col min="1" max="1" width="8.7265625" style="47"/>
    <col min="2" max="2" width="14.453125" style="47" customWidth="1"/>
    <col min="3" max="3" width="12" style="47" customWidth="1"/>
    <col min="4" max="9" width="8.7265625" style="47"/>
    <col min="10" max="10" width="14.453125" style="47" customWidth="1"/>
    <col min="11" max="16384" width="8.7265625" style="47"/>
  </cols>
  <sheetData>
    <row r="2" spans="2:12" ht="23.5">
      <c r="B2" s="51" t="s">
        <v>30</v>
      </c>
    </row>
    <row r="4" spans="2:12" ht="17.5">
      <c r="B4" s="46" t="s">
        <v>1</v>
      </c>
      <c r="C4" s="46" t="s">
        <v>33</v>
      </c>
    </row>
    <row r="5" spans="2:12">
      <c r="B5" s="48">
        <v>0</v>
      </c>
      <c r="C5" s="49">
        <v>-7500</v>
      </c>
      <c r="E5" s="47" t="s">
        <v>34</v>
      </c>
    </row>
    <row r="6" spans="2:12">
      <c r="B6" s="48">
        <v>1</v>
      </c>
      <c r="C6" s="49">
        <v>2500</v>
      </c>
      <c r="E6" s="47" t="s">
        <v>35</v>
      </c>
    </row>
    <row r="7" spans="2:12">
      <c r="B7" s="48">
        <v>2</v>
      </c>
      <c r="C7" s="49">
        <v>3000</v>
      </c>
      <c r="E7" s="47" t="s">
        <v>36</v>
      </c>
    </row>
    <row r="8" spans="2:12">
      <c r="B8" s="48">
        <v>3</v>
      </c>
      <c r="C8" s="49">
        <v>4000</v>
      </c>
      <c r="E8" s="47" t="s">
        <v>39</v>
      </c>
    </row>
    <row r="9" spans="2:12">
      <c r="B9" s="48">
        <v>4</v>
      </c>
      <c r="C9" s="49">
        <v>3000</v>
      </c>
      <c r="E9" s="47" t="s">
        <v>37</v>
      </c>
      <c r="L9" s="47" t="str">
        <f>FIXED(MIRR(C5:C10,C12,C12)*100,1)</f>
        <v>20.5</v>
      </c>
    </row>
    <row r="10" spans="2:12">
      <c r="B10" s="48">
        <v>5</v>
      </c>
      <c r="C10" s="49">
        <v>2500</v>
      </c>
    </row>
    <row r="11" spans="2:12">
      <c r="C11" s="49"/>
      <c r="L11" s="21"/>
    </row>
    <row r="12" spans="2:12">
      <c r="B12" s="47" t="s">
        <v>38</v>
      </c>
      <c r="C12" s="50">
        <v>0.12</v>
      </c>
    </row>
    <row r="13" spans="2:12" ht="15" thickBot="1"/>
    <row r="14" spans="2:12" ht="15" thickBot="1">
      <c r="B14" s="76" t="str">
        <f>"This project has an MIRR of "&amp;FIXED(MIRR(C5:C10,C12,C12)*100,1)&amp;"% which indicates that the project should be "&amp;IF(MIRR(C5:C10,C12,C12)&gt;C12,"ACCEPTED","REJECTED")</f>
        <v>This project has an MIRR of 20.5% which indicates that the project should be ACCEPTED</v>
      </c>
      <c r="C14" s="77"/>
      <c r="D14" s="77"/>
      <c r="E14" s="77"/>
      <c r="F14" s="77"/>
      <c r="G14" s="77"/>
      <c r="H14" s="77"/>
      <c r="I14" s="77"/>
      <c r="J14" s="78"/>
    </row>
    <row r="15" spans="2:12" ht="15" thickBot="1"/>
    <row r="16" spans="2:12" ht="15" thickBot="1">
      <c r="B16" s="79" t="s">
        <v>71</v>
      </c>
      <c r="C16" s="80"/>
      <c r="D16" s="80"/>
      <c r="E16" s="80"/>
      <c r="F16" s="80"/>
      <c r="G16" s="80"/>
      <c r="H16" s="80"/>
      <c r="I16" s="80"/>
      <c r="J16" s="81"/>
    </row>
    <row r="18" spans="2:2">
      <c r="B18" s="47" t="s">
        <v>67</v>
      </c>
    </row>
    <row r="19" spans="2:2">
      <c r="B19" s="47" t="s">
        <v>72</v>
      </c>
    </row>
    <row r="20" spans="2:2">
      <c r="B20" s="47" t="s">
        <v>68</v>
      </c>
    </row>
    <row r="21" spans="2:2">
      <c r="B21" s="47" t="s">
        <v>69</v>
      </c>
    </row>
    <row r="22" spans="2:2">
      <c r="B22" s="47" t="s">
        <v>70</v>
      </c>
    </row>
  </sheetData>
  <mergeCells count="2">
    <mergeCell ref="B14:J14"/>
    <mergeCell ref="B16:J16"/>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2:I17"/>
  <sheetViews>
    <sheetView workbookViewId="0">
      <selection activeCell="K15" sqref="K15"/>
    </sheetView>
  </sheetViews>
  <sheetFormatPr defaultColWidth="9.1796875" defaultRowHeight="14.5"/>
  <cols>
    <col min="1" max="1" width="5.7265625" style="34" customWidth="1"/>
    <col min="2" max="2" width="14.26953125" style="24" customWidth="1"/>
    <col min="3" max="4" width="11.453125" style="24" customWidth="1"/>
    <col min="5" max="5" width="9.453125" style="24" customWidth="1"/>
    <col min="6" max="16384" width="9.1796875" style="24"/>
  </cols>
  <sheetData>
    <row r="2" spans="2:9" ht="23.5">
      <c r="B2" s="35" t="s">
        <v>32</v>
      </c>
    </row>
    <row r="3" spans="2:9" ht="15" thickBot="1"/>
    <row r="4" spans="2:9" ht="29.5" thickBot="1">
      <c r="C4" s="27" t="s">
        <v>17</v>
      </c>
      <c r="D4" s="28" t="s">
        <v>18</v>
      </c>
      <c r="F4" s="31" t="s">
        <v>20</v>
      </c>
    </row>
    <row r="5" spans="2:9" ht="15" thickBot="1">
      <c r="C5" s="25">
        <v>0</v>
      </c>
      <c r="D5" s="58">
        <v>-7500</v>
      </c>
      <c r="F5" s="32">
        <v>0.09</v>
      </c>
    </row>
    <row r="6" spans="2:9">
      <c r="C6" s="25">
        <v>1</v>
      </c>
      <c r="D6" s="58">
        <v>1500</v>
      </c>
    </row>
    <row r="7" spans="2:9">
      <c r="C7" s="25">
        <v>2</v>
      </c>
      <c r="D7" s="58">
        <v>2000</v>
      </c>
    </row>
    <row r="8" spans="2:9">
      <c r="C8" s="25">
        <v>3</v>
      </c>
      <c r="D8" s="58">
        <v>2500</v>
      </c>
    </row>
    <row r="9" spans="2:9">
      <c r="C9" s="25">
        <v>4</v>
      </c>
      <c r="D9" s="58">
        <v>2500</v>
      </c>
      <c r="H9" s="21"/>
      <c r="I9" s="21"/>
    </row>
    <row r="10" spans="2:9">
      <c r="C10" s="25">
        <v>5</v>
      </c>
      <c r="D10" s="58">
        <v>1500</v>
      </c>
    </row>
    <row r="11" spans="2:9" ht="15" thickBot="1">
      <c r="C11" s="26">
        <v>6</v>
      </c>
      <c r="D11" s="59">
        <v>-1000</v>
      </c>
    </row>
    <row r="13" spans="2:9">
      <c r="B13" s="24" t="s">
        <v>73</v>
      </c>
    </row>
    <row r="14" spans="2:9">
      <c r="B14" s="24" t="s">
        <v>85</v>
      </c>
    </row>
    <row r="15" spans="2:9">
      <c r="B15" s="24" t="s">
        <v>74</v>
      </c>
    </row>
    <row r="16" spans="2:9" ht="15" thickBot="1"/>
    <row r="17" spans="2:4" ht="15" thickBot="1">
      <c r="B17" s="33" t="s">
        <v>21</v>
      </c>
      <c r="C17" s="82">
        <f>MIRR(D5:D11,F5,F5)</f>
        <v>8.1760381891441192E-2</v>
      </c>
      <c r="D17" s="83"/>
    </row>
  </sheetData>
  <mergeCells count="1">
    <mergeCell ref="C17:D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Read</vt:lpstr>
      <vt:lpstr>P1-40 Pts</vt:lpstr>
      <vt:lpstr>P2 - 10 Pts</vt:lpstr>
      <vt:lpstr>P3-10 Pts</vt:lpstr>
      <vt:lpstr>P4-15 Pts</vt:lpstr>
      <vt:lpstr>P5-10 Pts</vt:lpstr>
      <vt:lpstr>P6 - 5 Pts</vt:lpstr>
      <vt:lpstr>'P1-40 Pts'!Print_Area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dhawley</dc:creator>
  <cp:lastModifiedBy>Del</cp:lastModifiedBy>
  <cp:lastPrinted>2010-01-20T16:41:08Z</cp:lastPrinted>
  <dcterms:created xsi:type="dcterms:W3CDTF">2009-11-18T17:11:57Z</dcterms:created>
  <dcterms:modified xsi:type="dcterms:W3CDTF">2010-04-21T12:46:53Z</dcterms:modified>
</cp:coreProperties>
</file>